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4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elvin.Yap\Desktop\Indonesia PAI Summit 2019\"/>
    </mc:Choice>
  </mc:AlternateContent>
  <bookViews>
    <workbookView xWindow="0" yWindow="0" windowWidth="23040" windowHeight="8484" activeTab="2"/>
  </bookViews>
  <sheets>
    <sheet name="EV" sheetId="1" r:id="rId1"/>
    <sheet name="IFRS 17" sheetId="4" r:id="rId2"/>
    <sheet name="IFRS 17_lh" sheetId="5" r:id="rId3"/>
  </sheets>
  <calcPr calcId="171027"/>
</workbook>
</file>

<file path=xl/calcChain.xml><?xml version="1.0" encoding="utf-8"?>
<calcChain xmlns="http://schemas.openxmlformats.org/spreadsheetml/2006/main">
  <c r="AG6" i="5" l="1"/>
  <c r="F6" i="5"/>
  <c r="AU16" i="5" l="1"/>
  <c r="BB16" i="5" s="1"/>
  <c r="AR16" i="5"/>
  <c r="AW15" i="5"/>
  <c r="AV15" i="5"/>
  <c r="AZ15" i="5" s="1"/>
  <c r="AU15" i="5"/>
  <c r="BB15" i="5" s="1"/>
  <c r="AW14" i="5"/>
  <c r="AV14" i="5"/>
  <c r="AZ14" i="5" s="1"/>
  <c r="AU14" i="5"/>
  <c r="BB14" i="5" s="1"/>
  <c r="AW13" i="5"/>
  <c r="AV13" i="5"/>
  <c r="AZ13" i="5" s="1"/>
  <c r="AU13" i="5"/>
  <c r="BB13" i="5" s="1"/>
  <c r="AW12" i="5"/>
  <c r="AV12" i="5"/>
  <c r="AZ12" i="5" s="1"/>
  <c r="AU12" i="5"/>
  <c r="BB12" i="5" s="1"/>
  <c r="AW11" i="5"/>
  <c r="AV11" i="5"/>
  <c r="AZ11" i="5" s="1"/>
  <c r="AU11" i="5"/>
  <c r="BB11" i="5" s="1"/>
  <c r="AW10" i="5"/>
  <c r="AU10" i="5"/>
  <c r="BB10" i="5" s="1"/>
  <c r="AW9" i="5"/>
  <c r="AU9" i="5"/>
  <c r="BB9" i="5" s="1"/>
  <c r="AW8" i="5"/>
  <c r="AU8" i="5"/>
  <c r="BB8" i="5" s="1"/>
  <c r="AW7" i="5"/>
  <c r="AU7" i="5"/>
  <c r="BB7" i="5" s="1"/>
  <c r="AW6" i="5"/>
  <c r="AU6" i="5"/>
  <c r="BB6" i="5" s="1"/>
  <c r="BV16" i="5" l="1"/>
  <c r="AF6" i="5" l="1"/>
  <c r="M29" i="5"/>
  <c r="H16" i="5" s="1"/>
  <c r="AW16" i="5" s="1"/>
  <c r="M28" i="5"/>
  <c r="G16" i="5" s="1"/>
  <c r="M22" i="5"/>
  <c r="P18" i="5" s="1"/>
  <c r="J16" i="5"/>
  <c r="B6" i="5"/>
  <c r="AR6" i="5" s="1"/>
  <c r="C16" i="5" l="1"/>
  <c r="U15" i="5"/>
  <c r="C15" i="5"/>
  <c r="AV16" i="5"/>
  <c r="AZ16" i="5" s="1"/>
  <c r="AN8" i="5"/>
  <c r="B7" i="5"/>
  <c r="AR7" i="5" s="1"/>
  <c r="T15" i="5"/>
  <c r="G13" i="5"/>
  <c r="G7" i="5"/>
  <c r="AN9" i="5"/>
  <c r="AN7" i="5"/>
  <c r="G12" i="5"/>
  <c r="G14" i="5"/>
  <c r="BI6" i="5"/>
  <c r="G11" i="5"/>
  <c r="AC11" i="5"/>
  <c r="AC13" i="5"/>
  <c r="AC15" i="5"/>
  <c r="AC9" i="5"/>
  <c r="G6" i="5"/>
  <c r="G10" i="5"/>
  <c r="AC12" i="5"/>
  <c r="AC14" i="5"/>
  <c r="AC6" i="5"/>
  <c r="B8" i="5"/>
  <c r="AC10" i="5"/>
  <c r="G15" i="5"/>
  <c r="G8" i="5"/>
  <c r="AK9" i="5"/>
  <c r="AL9" i="5" s="1"/>
  <c r="AK6" i="5"/>
  <c r="AL6" i="5" s="1"/>
  <c r="AK8" i="5"/>
  <c r="AL8" i="5" s="1"/>
  <c r="AK12" i="5"/>
  <c r="AL12" i="5" s="1"/>
  <c r="AK15" i="5"/>
  <c r="AL15" i="5" s="1"/>
  <c r="AK13" i="5"/>
  <c r="AL13" i="5" s="1"/>
  <c r="AK11" i="5"/>
  <c r="AL11" i="5" s="1"/>
  <c r="AK10" i="5"/>
  <c r="AL10" i="5" s="1"/>
  <c r="AK16" i="5"/>
  <c r="AL16" i="5" s="1"/>
  <c r="AK7" i="5"/>
  <c r="AL7" i="5" s="1"/>
  <c r="AK14" i="5"/>
  <c r="AL14" i="5" s="1"/>
  <c r="B10" i="5"/>
  <c r="AR10" i="5" s="1"/>
  <c r="J6" i="5"/>
  <c r="AV6" i="5" s="1"/>
  <c r="AZ6" i="5" s="1"/>
  <c r="N16" i="5"/>
  <c r="AC7" i="5"/>
  <c r="AN10" i="5"/>
  <c r="AN11" i="5"/>
  <c r="AN12" i="5"/>
  <c r="AN13" i="5"/>
  <c r="AN14" i="5"/>
  <c r="AN15" i="5"/>
  <c r="AN16" i="5"/>
  <c r="AC8" i="5"/>
  <c r="AC16" i="5"/>
  <c r="AD16" i="5" s="1"/>
  <c r="AN6" i="5"/>
  <c r="G9" i="5"/>
  <c r="AS14" i="4"/>
  <c r="AS13" i="4"/>
  <c r="AS12" i="4"/>
  <c r="AS11" i="4"/>
  <c r="AS10" i="4"/>
  <c r="AS9" i="4"/>
  <c r="AO14" i="4"/>
  <c r="AO4" i="4"/>
  <c r="AR14" i="4"/>
  <c r="AR13" i="4"/>
  <c r="AR12" i="4"/>
  <c r="AR11" i="4"/>
  <c r="AR10" i="4"/>
  <c r="AR9" i="4"/>
  <c r="AR8" i="4"/>
  <c r="AR7" i="4"/>
  <c r="AR6" i="4"/>
  <c r="AR5" i="4"/>
  <c r="AR4" i="4"/>
  <c r="AK14" i="4"/>
  <c r="AK10" i="4"/>
  <c r="AH9" i="4"/>
  <c r="AI9" i="4" s="1"/>
  <c r="AH5" i="4"/>
  <c r="AI5" i="4" s="1"/>
  <c r="AD4" i="4"/>
  <c r="M20" i="4"/>
  <c r="J14" i="4"/>
  <c r="F4" i="4"/>
  <c r="M25" i="4"/>
  <c r="H14" i="4" s="1"/>
  <c r="M24" i="4"/>
  <c r="G11" i="4" s="1"/>
  <c r="B4" i="4"/>
  <c r="J4" i="4" s="1"/>
  <c r="AS4" i="4" s="1"/>
  <c r="U13" i="5" l="1"/>
  <c r="U14" i="5"/>
  <c r="BC15" i="5" s="1"/>
  <c r="U10" i="5"/>
  <c r="U11" i="5"/>
  <c r="U12" i="5"/>
  <c r="B9" i="5"/>
  <c r="AR9" i="5" s="1"/>
  <c r="J7" i="5"/>
  <c r="AV7" i="5" s="1"/>
  <c r="AZ7" i="5" s="1"/>
  <c r="N14" i="5"/>
  <c r="AT16" i="5"/>
  <c r="AT15" i="5"/>
  <c r="AT6" i="5"/>
  <c r="AT12" i="5"/>
  <c r="AT13" i="5"/>
  <c r="AT9" i="5"/>
  <c r="N11" i="5"/>
  <c r="AT11" i="5"/>
  <c r="AH12" i="4"/>
  <c r="AI12" i="4" s="1"/>
  <c r="AH13" i="4"/>
  <c r="AI13" i="4" s="1"/>
  <c r="R14" i="4"/>
  <c r="N13" i="5"/>
  <c r="O14" i="5" s="1"/>
  <c r="J8" i="5"/>
  <c r="AV8" i="5" s="1"/>
  <c r="AZ8" i="5" s="1"/>
  <c r="AR8" i="5"/>
  <c r="AK6" i="4"/>
  <c r="R13" i="4"/>
  <c r="AM7" i="5"/>
  <c r="AS7" i="5" s="1"/>
  <c r="BA7" i="5" s="1"/>
  <c r="AT8" i="5"/>
  <c r="AT10" i="5"/>
  <c r="AT14" i="5"/>
  <c r="AT7" i="5"/>
  <c r="N10" i="5"/>
  <c r="N12" i="5"/>
  <c r="AM8" i="5"/>
  <c r="BR16" i="5"/>
  <c r="AM9" i="5"/>
  <c r="AS9" i="5" s="1"/>
  <c r="BA9" i="5" s="1"/>
  <c r="AM10" i="5"/>
  <c r="AS10" i="5" s="1"/>
  <c r="BA10" i="5" s="1"/>
  <c r="BC16" i="5"/>
  <c r="V15" i="5"/>
  <c r="BV15" i="5" s="1"/>
  <c r="N8" i="5"/>
  <c r="AM16" i="5"/>
  <c r="N15" i="5"/>
  <c r="AD13" i="5"/>
  <c r="AM15" i="5"/>
  <c r="AD11" i="5"/>
  <c r="AD8" i="5"/>
  <c r="AD7" i="5"/>
  <c r="AD10" i="5"/>
  <c r="AM14" i="5"/>
  <c r="AD14" i="5"/>
  <c r="N6" i="5"/>
  <c r="O6" i="5" s="1"/>
  <c r="B12" i="5"/>
  <c r="AR12" i="5" s="1"/>
  <c r="J10" i="5"/>
  <c r="AV10" i="5" s="1"/>
  <c r="AZ10" i="5" s="1"/>
  <c r="AD9" i="5"/>
  <c r="AM13" i="5"/>
  <c r="AS13" i="5" s="1"/>
  <c r="BA13" i="5" s="1"/>
  <c r="AD15" i="5"/>
  <c r="N9" i="5"/>
  <c r="AM12" i="5"/>
  <c r="AS12" i="5" s="1"/>
  <c r="BA12" i="5" s="1"/>
  <c r="AM6" i="5"/>
  <c r="AS6" i="5" s="1"/>
  <c r="BA6" i="5" s="1"/>
  <c r="AM11" i="5"/>
  <c r="AS11" i="5" s="1"/>
  <c r="BA11" i="5" s="1"/>
  <c r="AD12" i="5"/>
  <c r="N7" i="5"/>
  <c r="AD6" i="5"/>
  <c r="AH6" i="4"/>
  <c r="AI6" i="4" s="1"/>
  <c r="AJ6" i="4" s="1"/>
  <c r="AH10" i="4"/>
  <c r="AI10" i="4" s="1"/>
  <c r="AJ10" i="4" s="1"/>
  <c r="AH14" i="4"/>
  <c r="AI14" i="4" s="1"/>
  <c r="AJ14" i="4" s="1"/>
  <c r="AK7" i="4"/>
  <c r="AK11" i="4"/>
  <c r="AQ11" i="4" s="1"/>
  <c r="AE4" i="4"/>
  <c r="AH7" i="4"/>
  <c r="AI7" i="4" s="1"/>
  <c r="AH11" i="4"/>
  <c r="AI11" i="4" s="1"/>
  <c r="AK4" i="4"/>
  <c r="AK8" i="4"/>
  <c r="AK12" i="4"/>
  <c r="AJ12" i="4" s="1"/>
  <c r="AH4" i="4"/>
  <c r="AI4" i="4" s="1"/>
  <c r="AH8" i="4"/>
  <c r="AI8" i="4" s="1"/>
  <c r="AK5" i="4"/>
  <c r="AJ5" i="4" s="1"/>
  <c r="AK9" i="4"/>
  <c r="AJ9" i="4" s="1"/>
  <c r="AK13" i="4"/>
  <c r="AJ13" i="4" s="1"/>
  <c r="AA7" i="4"/>
  <c r="AA11" i="4"/>
  <c r="AA4" i="4"/>
  <c r="AA8" i="4"/>
  <c r="AA12" i="4"/>
  <c r="AA14" i="4"/>
  <c r="AB14" i="4" s="1"/>
  <c r="AA5" i="4"/>
  <c r="AA9" i="4"/>
  <c r="AA13" i="4"/>
  <c r="AA6" i="4"/>
  <c r="AA10" i="4"/>
  <c r="G12" i="4"/>
  <c r="G7" i="4"/>
  <c r="G4" i="4"/>
  <c r="G9" i="4"/>
  <c r="G13" i="4"/>
  <c r="G6" i="4"/>
  <c r="G10" i="4"/>
  <c r="G14" i="4"/>
  <c r="G5" i="4"/>
  <c r="G8" i="4"/>
  <c r="B5" i="4"/>
  <c r="B6" i="4"/>
  <c r="M21" i="1"/>
  <c r="G12" i="1" s="1"/>
  <c r="M22" i="1"/>
  <c r="H13" i="1" s="1"/>
  <c r="F3" i="1"/>
  <c r="B3" i="1"/>
  <c r="J3" i="1" s="1"/>
  <c r="BC14" i="5" l="1"/>
  <c r="J9" i="5"/>
  <c r="U8" i="5" s="1"/>
  <c r="U9" i="5"/>
  <c r="B11" i="5"/>
  <c r="B13" i="5" s="1"/>
  <c r="U6" i="5"/>
  <c r="U7" i="5"/>
  <c r="O15" i="5"/>
  <c r="BC11" i="5"/>
  <c r="O12" i="5"/>
  <c r="O8" i="5"/>
  <c r="BC12" i="5"/>
  <c r="O11" i="5"/>
  <c r="O13" i="5"/>
  <c r="AO5" i="4"/>
  <c r="AQ4" i="4"/>
  <c r="AP4" i="4"/>
  <c r="AQ8" i="4"/>
  <c r="AP8" i="4"/>
  <c r="AQ7" i="4"/>
  <c r="AP5" i="4"/>
  <c r="AQ5" i="4"/>
  <c r="AP13" i="4"/>
  <c r="AQ13" i="4"/>
  <c r="AQ12" i="4"/>
  <c r="AP12" i="4"/>
  <c r="AB9" i="4"/>
  <c r="AJ11" i="4"/>
  <c r="AP11" i="4" s="1"/>
  <c r="BF6" i="5"/>
  <c r="AQ10" i="4"/>
  <c r="AP10" i="4"/>
  <c r="BF7" i="5"/>
  <c r="AP6" i="4"/>
  <c r="AQ6" i="4"/>
  <c r="BF11" i="5"/>
  <c r="AS16" i="5"/>
  <c r="AS15" i="5"/>
  <c r="AO6" i="4"/>
  <c r="N14" i="4"/>
  <c r="AP14" i="4"/>
  <c r="AQ14" i="4"/>
  <c r="AP9" i="4"/>
  <c r="AQ9" i="4"/>
  <c r="AB10" i="4"/>
  <c r="BF12" i="5"/>
  <c r="BF13" i="5"/>
  <c r="AV9" i="5"/>
  <c r="AS14" i="5"/>
  <c r="AS8" i="5"/>
  <c r="O9" i="5"/>
  <c r="BR15" i="5"/>
  <c r="BC13" i="5"/>
  <c r="B14" i="5"/>
  <c r="O10" i="5"/>
  <c r="O7" i="5"/>
  <c r="BF10" i="5"/>
  <c r="AB8" i="4"/>
  <c r="N8" i="4"/>
  <c r="AJ7" i="4"/>
  <c r="AP7" i="4" s="1"/>
  <c r="AJ8" i="4"/>
  <c r="AJ4" i="4"/>
  <c r="AB5" i="4"/>
  <c r="AB4" i="4"/>
  <c r="AB6" i="4"/>
  <c r="AB11" i="4"/>
  <c r="AB13" i="4"/>
  <c r="AB12" i="4"/>
  <c r="AB7" i="4"/>
  <c r="N4" i="4"/>
  <c r="O4" i="4" s="1"/>
  <c r="N7" i="4"/>
  <c r="O8" i="4" s="1"/>
  <c r="S10" i="4"/>
  <c r="S12" i="4"/>
  <c r="S14" i="4"/>
  <c r="S13" i="4"/>
  <c r="S9" i="4"/>
  <c r="S8" i="4"/>
  <c r="S11" i="4"/>
  <c r="C13" i="4"/>
  <c r="N13" i="4"/>
  <c r="N12" i="4"/>
  <c r="J5" i="4"/>
  <c r="AS5" i="4" s="1"/>
  <c r="N6" i="4"/>
  <c r="N10" i="4"/>
  <c r="N9" i="4"/>
  <c r="J6" i="4"/>
  <c r="AS6" i="4" s="1"/>
  <c r="N5" i="4"/>
  <c r="O5" i="4" s="1"/>
  <c r="N11" i="4"/>
  <c r="O11" i="4" s="1"/>
  <c r="B8" i="4"/>
  <c r="B7" i="4"/>
  <c r="G5" i="1"/>
  <c r="G9" i="1"/>
  <c r="G13" i="1"/>
  <c r="G6" i="1"/>
  <c r="G10" i="1"/>
  <c r="G3" i="1"/>
  <c r="G7" i="1"/>
  <c r="G11" i="1"/>
  <c r="G4" i="1"/>
  <c r="G8" i="1"/>
  <c r="B4" i="1"/>
  <c r="B6" i="1" s="1"/>
  <c r="B8" i="1" s="1"/>
  <c r="B5" i="1"/>
  <c r="U5" i="5" l="1"/>
  <c r="BC6" i="5" s="1"/>
  <c r="BC7" i="5"/>
  <c r="AR13" i="5"/>
  <c r="AR14" i="5"/>
  <c r="AR11" i="5"/>
  <c r="AZ9" i="5"/>
  <c r="BF9" i="5" s="1"/>
  <c r="BC8" i="5"/>
  <c r="BA8" i="5"/>
  <c r="BF8" i="5" s="1"/>
  <c r="BA14" i="5"/>
  <c r="BF14" i="5" s="1"/>
  <c r="BA15" i="5"/>
  <c r="BF15" i="5" s="1"/>
  <c r="BA16" i="5"/>
  <c r="BF16" i="5" s="1"/>
  <c r="AO7" i="4"/>
  <c r="AO8" i="4"/>
  <c r="O16" i="5"/>
  <c r="O18" i="5" s="1"/>
  <c r="BC9" i="5"/>
  <c r="BC10" i="5"/>
  <c r="B15" i="5"/>
  <c r="C12" i="5" s="1"/>
  <c r="O9" i="4"/>
  <c r="O10" i="4"/>
  <c r="T13" i="4"/>
  <c r="T14" i="4"/>
  <c r="O13" i="4"/>
  <c r="J8" i="4"/>
  <c r="O12" i="4"/>
  <c r="J7" i="4"/>
  <c r="AS7" i="4" s="1"/>
  <c r="O6" i="4"/>
  <c r="O7" i="4"/>
  <c r="B9" i="4"/>
  <c r="B10" i="4"/>
  <c r="N13" i="1"/>
  <c r="N11" i="1"/>
  <c r="N8" i="1"/>
  <c r="N9" i="1"/>
  <c r="N10" i="1"/>
  <c r="N3" i="1"/>
  <c r="O3" i="1" s="1"/>
  <c r="N7" i="1"/>
  <c r="N4" i="1"/>
  <c r="N5" i="1"/>
  <c r="N6" i="1"/>
  <c r="N12" i="1"/>
  <c r="J4" i="1"/>
  <c r="J6" i="1"/>
  <c r="B10" i="1"/>
  <c r="J5" i="1"/>
  <c r="B7" i="1"/>
  <c r="C13" i="5" l="1"/>
  <c r="C7" i="5"/>
  <c r="C10" i="5"/>
  <c r="C8" i="5"/>
  <c r="AR15" i="5"/>
  <c r="C14" i="5"/>
  <c r="C6" i="5"/>
  <c r="C9" i="5"/>
  <c r="C11" i="5"/>
  <c r="AO9" i="4"/>
  <c r="S7" i="4"/>
  <c r="AS8" i="4"/>
  <c r="AO10" i="4"/>
  <c r="T11" i="5"/>
  <c r="V11" i="5" s="1"/>
  <c r="BV11" i="5" s="1"/>
  <c r="T8" i="5"/>
  <c r="V8" i="5" s="1"/>
  <c r="BV8" i="5" s="1"/>
  <c r="T6" i="5"/>
  <c r="V6" i="5" s="1"/>
  <c r="BV6" i="5" s="1"/>
  <c r="T10" i="5"/>
  <c r="V10" i="5" s="1"/>
  <c r="BV10" i="5" s="1"/>
  <c r="D13" i="5"/>
  <c r="L13" i="5" s="1"/>
  <c r="T7" i="5"/>
  <c r="V7" i="5" s="1"/>
  <c r="BV7" i="5" s="1"/>
  <c r="T13" i="5"/>
  <c r="V13" i="5" s="1"/>
  <c r="BV13" i="5" s="1"/>
  <c r="T14" i="5"/>
  <c r="V14" i="5" s="1"/>
  <c r="BV14" i="5" s="1"/>
  <c r="T9" i="5"/>
  <c r="V9" i="5" s="1"/>
  <c r="BV9" i="5" s="1"/>
  <c r="T5" i="5"/>
  <c r="AX5" i="5" s="1"/>
  <c r="D6" i="5"/>
  <c r="T12" i="5"/>
  <c r="V12" i="5" s="1"/>
  <c r="BV12" i="5" s="1"/>
  <c r="S6" i="4"/>
  <c r="S3" i="4"/>
  <c r="S4" i="4"/>
  <c r="S5" i="4"/>
  <c r="O14" i="4"/>
  <c r="O16" i="4" s="1"/>
  <c r="B12" i="4"/>
  <c r="B11" i="4"/>
  <c r="O7" i="1"/>
  <c r="O12" i="1"/>
  <c r="O11" i="1"/>
  <c r="O4" i="1"/>
  <c r="O5" i="1"/>
  <c r="O6" i="1"/>
  <c r="O8" i="1"/>
  <c r="O9" i="1"/>
  <c r="O10" i="1"/>
  <c r="B9" i="1"/>
  <c r="J7" i="1"/>
  <c r="B12" i="1"/>
  <c r="L6" i="5" l="1"/>
  <c r="E7" i="5"/>
  <c r="F7" i="5"/>
  <c r="D12" i="5"/>
  <c r="L12" i="5" s="1"/>
  <c r="AO11" i="4"/>
  <c r="R7" i="4"/>
  <c r="R4" i="4"/>
  <c r="AO12" i="4"/>
  <c r="D8" i="5"/>
  <c r="L8" i="5" s="1"/>
  <c r="R9" i="4"/>
  <c r="D10" i="5"/>
  <c r="L10" i="5" s="1"/>
  <c r="BR6" i="5"/>
  <c r="BR10" i="5"/>
  <c r="BR12" i="5"/>
  <c r="BR8" i="5"/>
  <c r="BR14" i="5"/>
  <c r="BR9" i="5"/>
  <c r="D9" i="5"/>
  <c r="L9" i="5" s="1"/>
  <c r="BR13" i="5"/>
  <c r="BR7" i="5"/>
  <c r="BR11" i="5"/>
  <c r="D14" i="5"/>
  <c r="L14" i="5" s="1"/>
  <c r="D15" i="5"/>
  <c r="L15" i="5" s="1"/>
  <c r="D11" i="5"/>
  <c r="L11" i="5" s="1"/>
  <c r="AP6" i="5"/>
  <c r="AQ6" i="5" s="1"/>
  <c r="V5" i="5"/>
  <c r="K6" i="5"/>
  <c r="D7" i="5"/>
  <c r="L7" i="5" s="1"/>
  <c r="B13" i="4"/>
  <c r="O13" i="1"/>
  <c r="O15" i="1" s="1"/>
  <c r="B11" i="1"/>
  <c r="E15" i="5" l="1"/>
  <c r="E12" i="5"/>
  <c r="E9" i="5"/>
  <c r="E16" i="5"/>
  <c r="E10" i="5"/>
  <c r="E11" i="5"/>
  <c r="E13" i="5"/>
  <c r="E14" i="5"/>
  <c r="E8" i="5"/>
  <c r="F10" i="5"/>
  <c r="F16" i="5"/>
  <c r="F11" i="5"/>
  <c r="F12" i="5"/>
  <c r="F8" i="5"/>
  <c r="F14" i="5"/>
  <c r="F9" i="5"/>
  <c r="F15" i="5"/>
  <c r="T4" i="4"/>
  <c r="AO13" i="4"/>
  <c r="R12" i="4"/>
  <c r="T12" i="4" s="1"/>
  <c r="R3" i="4"/>
  <c r="AT3" i="4" s="1"/>
  <c r="AM4" i="4" s="1"/>
  <c r="R6" i="4"/>
  <c r="R8" i="4"/>
  <c r="R10" i="4"/>
  <c r="R5" i="4"/>
  <c r="R11" i="4"/>
  <c r="M6" i="5"/>
  <c r="AA5" i="5"/>
  <c r="BV5" i="5"/>
  <c r="BR5" i="5"/>
  <c r="K7" i="5"/>
  <c r="D16" i="5"/>
  <c r="L16" i="5" s="1"/>
  <c r="T6" i="4"/>
  <c r="T8" i="4"/>
  <c r="T5" i="4"/>
  <c r="T7" i="4"/>
  <c r="C10" i="4"/>
  <c r="T9" i="4"/>
  <c r="C5" i="4"/>
  <c r="T11" i="4"/>
  <c r="T10" i="4"/>
  <c r="C8" i="4"/>
  <c r="C11" i="4"/>
  <c r="C6" i="4"/>
  <c r="D6" i="4" s="1"/>
  <c r="C7" i="4"/>
  <c r="C12" i="4"/>
  <c r="C4" i="4"/>
  <c r="D4" i="4" s="1"/>
  <c r="C9" i="4"/>
  <c r="C4" i="1"/>
  <c r="C6" i="1"/>
  <c r="J13" i="1"/>
  <c r="C8" i="1" s="1"/>
  <c r="F13" i="5" l="1"/>
  <c r="K13" i="5" s="1"/>
  <c r="M13" i="5" s="1"/>
  <c r="D9" i="4"/>
  <c r="T3" i="4"/>
  <c r="Y3" i="4" s="1"/>
  <c r="V4" i="4" s="1"/>
  <c r="D11" i="4"/>
  <c r="K14" i="5"/>
  <c r="M14" i="5" s="1"/>
  <c r="AX6" i="5"/>
  <c r="AP7" i="5" s="1"/>
  <c r="AQ7" i="5" s="1"/>
  <c r="M7" i="5"/>
  <c r="X6" i="5"/>
  <c r="BU5" i="5"/>
  <c r="K11" i="5"/>
  <c r="M11" i="5" s="1"/>
  <c r="K15" i="5"/>
  <c r="M15" i="5" s="1"/>
  <c r="K8" i="5"/>
  <c r="M8" i="5" s="1"/>
  <c r="K12" i="5"/>
  <c r="M12" i="5" s="1"/>
  <c r="K9" i="5"/>
  <c r="M9" i="5" s="1"/>
  <c r="K10" i="5"/>
  <c r="M10" i="5" s="1"/>
  <c r="K16" i="5"/>
  <c r="D5" i="4"/>
  <c r="E7" i="4" s="1"/>
  <c r="F7" i="4" s="1"/>
  <c r="D7" i="4"/>
  <c r="L11" i="4"/>
  <c r="K4" i="4"/>
  <c r="L4" i="4"/>
  <c r="E5" i="4"/>
  <c r="F5" i="4" s="1"/>
  <c r="L9" i="4"/>
  <c r="L6" i="4"/>
  <c r="D8" i="4"/>
  <c r="D12" i="4"/>
  <c r="D13" i="4"/>
  <c r="D10" i="4"/>
  <c r="L10" i="4" s="1"/>
  <c r="C10" i="1"/>
  <c r="C12" i="1"/>
  <c r="C11" i="1"/>
  <c r="C3" i="1"/>
  <c r="D3" i="1" s="1"/>
  <c r="C5" i="1"/>
  <c r="D5" i="1" s="1"/>
  <c r="C9" i="1"/>
  <c r="D9" i="1" s="1"/>
  <c r="C7" i="1"/>
  <c r="D7" i="1" s="1"/>
  <c r="D10" i="1" l="1"/>
  <c r="L10" i="1" s="1"/>
  <c r="Y6" i="5"/>
  <c r="BJ6" i="5" s="1"/>
  <c r="M16" i="5"/>
  <c r="M18" i="5" s="1"/>
  <c r="AN4" i="4"/>
  <c r="E6" i="4"/>
  <c r="F6" i="4" s="1"/>
  <c r="E10" i="4"/>
  <c r="F10" i="4" s="1"/>
  <c r="W4" i="4"/>
  <c r="X4" i="4" s="1"/>
  <c r="Y4" i="4" s="1"/>
  <c r="V5" i="4" s="1"/>
  <c r="E8" i="4"/>
  <c r="F8" i="4" s="1"/>
  <c r="L13" i="4"/>
  <c r="D14" i="4"/>
  <c r="L12" i="4"/>
  <c r="E11" i="4"/>
  <c r="K7" i="4"/>
  <c r="L7" i="4"/>
  <c r="L8" i="4"/>
  <c r="E9" i="4"/>
  <c r="E14" i="4"/>
  <c r="F14" i="4" s="1"/>
  <c r="E13" i="4"/>
  <c r="F13" i="4" s="1"/>
  <c r="E12" i="4"/>
  <c r="F12" i="4" s="1"/>
  <c r="M4" i="4"/>
  <c r="L5" i="4"/>
  <c r="K5" i="4"/>
  <c r="D11" i="1"/>
  <c r="D4" i="1"/>
  <c r="L5" i="1"/>
  <c r="K5" i="1"/>
  <c r="M5" i="1" s="1"/>
  <c r="P5" i="1" s="1"/>
  <c r="K3" i="1"/>
  <c r="E4" i="1"/>
  <c r="F4" i="1" s="1"/>
  <c r="L3" i="1"/>
  <c r="E8" i="1"/>
  <c r="F8" i="1" s="1"/>
  <c r="E6" i="1"/>
  <c r="F6" i="1" s="1"/>
  <c r="E5" i="1"/>
  <c r="F5" i="1" s="1"/>
  <c r="D6" i="1"/>
  <c r="E7" i="1" s="1"/>
  <c r="L7" i="1"/>
  <c r="L9" i="1"/>
  <c r="D12" i="1"/>
  <c r="D8" i="1"/>
  <c r="L8" i="1" s="1"/>
  <c r="F7" i="1" l="1"/>
  <c r="K7" i="1"/>
  <c r="M7" i="1" s="1"/>
  <c r="P7" i="1" s="1"/>
  <c r="AX7" i="5"/>
  <c r="AP8" i="5" s="1"/>
  <c r="AQ8" i="5" s="1"/>
  <c r="K10" i="4"/>
  <c r="M10" i="4" s="1"/>
  <c r="Z6" i="5"/>
  <c r="BD6" i="5" s="1"/>
  <c r="BK6" i="5"/>
  <c r="AT4" i="4"/>
  <c r="AM5" i="4" s="1"/>
  <c r="AN5" i="4" s="1"/>
  <c r="K6" i="4"/>
  <c r="M6" i="4" s="1"/>
  <c r="W5" i="4"/>
  <c r="X5" i="4" s="1"/>
  <c r="K8" i="4"/>
  <c r="M8" i="4" s="1"/>
  <c r="M5" i="4"/>
  <c r="F9" i="4"/>
  <c r="K9" i="4" s="1"/>
  <c r="M9" i="4" s="1"/>
  <c r="M7" i="4"/>
  <c r="K14" i="4"/>
  <c r="L14" i="4"/>
  <c r="F11" i="4"/>
  <c r="K11" i="4" s="1"/>
  <c r="M11" i="4" s="1"/>
  <c r="K12" i="4"/>
  <c r="M12" i="4" s="1"/>
  <c r="K13" i="4"/>
  <c r="M13" i="4" s="1"/>
  <c r="E11" i="1"/>
  <c r="F11" i="1" s="1"/>
  <c r="L12" i="1"/>
  <c r="L6" i="1"/>
  <c r="K6" i="1"/>
  <c r="E13" i="1"/>
  <c r="F13" i="1" s="1"/>
  <c r="E10" i="1"/>
  <c r="F10" i="1" s="1"/>
  <c r="K10" i="1" s="1"/>
  <c r="M10" i="1" s="1"/>
  <c r="P10" i="1" s="1"/>
  <c r="L4" i="1"/>
  <c r="K4" i="1"/>
  <c r="K8" i="1"/>
  <c r="M8" i="1" s="1"/>
  <c r="P8" i="1" s="1"/>
  <c r="E12" i="1"/>
  <c r="F12" i="1" s="1"/>
  <c r="D13" i="1"/>
  <c r="E9" i="1"/>
  <c r="M3" i="1"/>
  <c r="L11" i="1"/>
  <c r="K11" i="1"/>
  <c r="M11" i="1" s="1"/>
  <c r="P11" i="1" s="1"/>
  <c r="AA6" i="5" l="1"/>
  <c r="X7" i="5" s="1"/>
  <c r="AX8" i="5"/>
  <c r="AP9" i="5" s="1"/>
  <c r="AQ9" i="5" s="1"/>
  <c r="BE6" i="5"/>
  <c r="BG6" i="5" s="1"/>
  <c r="AT5" i="4"/>
  <c r="AM6" i="4" s="1"/>
  <c r="Y5" i="4"/>
  <c r="V6" i="4" s="1"/>
  <c r="W6" i="4" s="1"/>
  <c r="X6" i="4" s="1"/>
  <c r="Y6" i="4" s="1"/>
  <c r="V7" i="4" s="1"/>
  <c r="M14" i="4"/>
  <c r="M16" i="4" s="1"/>
  <c r="P16" i="4"/>
  <c r="K12" i="1"/>
  <c r="M12" i="1" s="1"/>
  <c r="P12" i="1" s="1"/>
  <c r="L13" i="1"/>
  <c r="K13" i="1"/>
  <c r="M13" i="1" s="1"/>
  <c r="P13" i="1" s="1"/>
  <c r="P3" i="1"/>
  <c r="F9" i="1"/>
  <c r="K9" i="1"/>
  <c r="M9" i="1" s="1"/>
  <c r="P9" i="1" s="1"/>
  <c r="M4" i="1"/>
  <c r="P4" i="1" s="1"/>
  <c r="M6" i="1"/>
  <c r="P6" i="1" s="1"/>
  <c r="P15" i="1" l="1"/>
  <c r="BU6" i="5"/>
  <c r="AX9" i="5"/>
  <c r="AP10" i="5" s="1"/>
  <c r="AQ10" i="5" s="1"/>
  <c r="BM6" i="5"/>
  <c r="BN6" i="5" s="1"/>
  <c r="Y7" i="5"/>
  <c r="BJ7" i="5" s="1"/>
  <c r="AN6" i="4"/>
  <c r="W7" i="4"/>
  <c r="X7" i="4" s="1"/>
  <c r="Y7" i="4" s="1"/>
  <c r="V8" i="4" s="1"/>
  <c r="M15" i="1"/>
  <c r="BO6" i="5" l="1"/>
  <c r="AH6" i="5"/>
  <c r="AI6" i="5" s="1"/>
  <c r="Z7" i="5"/>
  <c r="AX10" i="5"/>
  <c r="AP11" i="5" s="1"/>
  <c r="AQ11" i="5" s="1"/>
  <c r="AT6" i="4"/>
  <c r="AM7" i="4" s="1"/>
  <c r="W8" i="4"/>
  <c r="X8" i="4" s="1"/>
  <c r="Y8" i="4" s="1"/>
  <c r="V9" i="4" s="1"/>
  <c r="BQ6" i="5" l="1"/>
  <c r="AF7" i="5"/>
  <c r="AA7" i="5"/>
  <c r="BD7" i="5"/>
  <c r="BE7" i="5" s="1"/>
  <c r="AX11" i="5"/>
  <c r="AP12" i="5" s="1"/>
  <c r="AQ12" i="5" s="1"/>
  <c r="AN7" i="4"/>
  <c r="W9" i="4"/>
  <c r="X9" i="4" s="1"/>
  <c r="Y9" i="4" s="1"/>
  <c r="V10" i="4" s="1"/>
  <c r="AG7" i="5" l="1"/>
  <c r="BI7" i="5" s="1"/>
  <c r="BK7" i="5" s="1"/>
  <c r="BG7" i="5"/>
  <c r="BU7" i="5"/>
  <c r="X8" i="5"/>
  <c r="AX12" i="5"/>
  <c r="AP13" i="5" s="1"/>
  <c r="AQ13" i="5" s="1"/>
  <c r="AT7" i="4"/>
  <c r="AM8" i="4" s="1"/>
  <c r="W10" i="4"/>
  <c r="X10" i="4" s="1"/>
  <c r="Y10" i="4" s="1"/>
  <c r="V11" i="4" s="1"/>
  <c r="W11" i="4" s="1"/>
  <c r="BM7" i="5" l="1"/>
  <c r="BN7" i="5" s="1"/>
  <c r="BO7" i="5"/>
  <c r="AH7" i="5"/>
  <c r="AI7" i="5" s="1"/>
  <c r="Y8" i="5"/>
  <c r="BJ8" i="5" s="1"/>
  <c r="AX13" i="5"/>
  <c r="AP14" i="5" s="1"/>
  <c r="AQ14" i="5" s="1"/>
  <c r="AN8" i="4"/>
  <c r="X11" i="4"/>
  <c r="Y11" i="4" s="1"/>
  <c r="V12" i="4" s="1"/>
  <c r="W12" i="4" s="1"/>
  <c r="BQ7" i="5" l="1"/>
  <c r="AF8" i="5"/>
  <c r="Z8" i="5"/>
  <c r="BD8" i="5" s="1"/>
  <c r="BE8" i="5" s="1"/>
  <c r="BG8" i="5" s="1"/>
  <c r="AX14" i="5"/>
  <c r="AP15" i="5" s="1"/>
  <c r="AQ15" i="5" s="1"/>
  <c r="AT8" i="4"/>
  <c r="AM9" i="4" s="1"/>
  <c r="X12" i="4"/>
  <c r="Y12" i="4" s="1"/>
  <c r="V13" i="4" s="1"/>
  <c r="AG8" i="5" l="1"/>
  <c r="BI8" i="5" s="1"/>
  <c r="BK8" i="5" s="1"/>
  <c r="BM8" i="5" s="1"/>
  <c r="BN8" i="5" s="1"/>
  <c r="AA8" i="5"/>
  <c r="AX15" i="5"/>
  <c r="AP16" i="5" s="1"/>
  <c r="AQ16" i="5" s="1"/>
  <c r="AN9" i="4"/>
  <c r="AT9" i="4" s="1"/>
  <c r="W13" i="4"/>
  <c r="BO8" i="5" l="1"/>
  <c r="AH8" i="5"/>
  <c r="AI8" i="5" s="1"/>
  <c r="BU8" i="5"/>
  <c r="X9" i="5"/>
  <c r="AX16" i="5"/>
  <c r="AM10" i="4"/>
  <c r="X13" i="4"/>
  <c r="Y13" i="4" s="1"/>
  <c r="V14" i="4" s="1"/>
  <c r="BQ8" i="5" l="1"/>
  <c r="AF9" i="5"/>
  <c r="AG9" i="5" s="1"/>
  <c r="Y9" i="5"/>
  <c r="AN10" i="4"/>
  <c r="W14" i="4"/>
  <c r="BI9" i="5" l="1"/>
  <c r="BJ9" i="5"/>
  <c r="Z9" i="5"/>
  <c r="AT10" i="4"/>
  <c r="AM11" i="4" s="1"/>
  <c r="X14" i="4"/>
  <c r="Y14" i="4" s="1"/>
  <c r="BK9" i="5" l="1"/>
  <c r="AA9" i="5"/>
  <c r="BD9" i="5"/>
  <c r="BE9" i="5" s="1"/>
  <c r="AN11" i="4"/>
  <c r="AT11" i="4" s="1"/>
  <c r="BG9" i="5" l="1"/>
  <c r="BM9" i="5" s="1"/>
  <c r="BN9" i="5" s="1"/>
  <c r="X10" i="5"/>
  <c r="BU9" i="5"/>
  <c r="AM12" i="4"/>
  <c r="BO9" i="5" l="1"/>
  <c r="AH9" i="5"/>
  <c r="AI9" i="5" s="1"/>
  <c r="Y10" i="5"/>
  <c r="Z10" i="5" s="1"/>
  <c r="AN12" i="4"/>
  <c r="AT12" i="4" s="1"/>
  <c r="AM13" i="4" s="1"/>
  <c r="AF10" i="5" l="1"/>
  <c r="AG10" i="5" s="1"/>
  <c r="BQ9" i="5"/>
  <c r="BJ10" i="5"/>
  <c r="AA10" i="5"/>
  <c r="BD10" i="5"/>
  <c r="BE10" i="5" s="1"/>
  <c r="BG10" i="5" s="1"/>
  <c r="AN13" i="4"/>
  <c r="AT13" i="4" s="1"/>
  <c r="AM14" i="4" s="1"/>
  <c r="BI10" i="5" l="1"/>
  <c r="BK10" i="5" s="1"/>
  <c r="BM10" i="5" s="1"/>
  <c r="BN10" i="5" s="1"/>
  <c r="X11" i="5"/>
  <c r="BU10" i="5"/>
  <c r="AN14" i="4"/>
  <c r="AT14" i="4" s="1"/>
  <c r="BS5" i="5"/>
  <c r="BS6" i="5"/>
  <c r="BS7" i="5"/>
  <c r="BS8" i="5"/>
  <c r="BS9" i="5"/>
  <c r="BO10" i="5" l="1"/>
  <c r="AH10" i="5"/>
  <c r="AI10" i="5" s="1"/>
  <c r="BM5" i="5"/>
  <c r="Y11" i="5"/>
  <c r="Z11" i="5" s="1"/>
  <c r="BN5" i="5" l="1"/>
  <c r="BO5" i="5" s="1"/>
  <c r="BW5" i="5" s="1"/>
  <c r="BQ10" i="5"/>
  <c r="BS10" i="5" s="1"/>
  <c r="AF11" i="5"/>
  <c r="AG11" i="5" s="1"/>
  <c r="BJ11" i="5"/>
  <c r="AA11" i="5"/>
  <c r="BD11" i="5"/>
  <c r="BE11" i="5" s="1"/>
  <c r="BG11" i="5" s="1"/>
  <c r="BW6" i="5" l="1"/>
  <c r="BX5" i="5"/>
  <c r="BY5" i="5" s="1"/>
  <c r="BI11" i="5"/>
  <c r="BK11" i="5" s="1"/>
  <c r="BM11" i="5" s="1"/>
  <c r="BN11" i="5" s="1"/>
  <c r="BW7" i="5"/>
  <c r="BX6" i="5"/>
  <c r="BY6" i="5" s="1"/>
  <c r="X12" i="5"/>
  <c r="BU11" i="5"/>
  <c r="BO11" i="5" l="1"/>
  <c r="AH11" i="5"/>
  <c r="AI11" i="5"/>
  <c r="BW8" i="5"/>
  <c r="BX7" i="5"/>
  <c r="BY7" i="5" s="1"/>
  <c r="Y12" i="5"/>
  <c r="AF12" i="5" l="1"/>
  <c r="AG12" i="5" s="1"/>
  <c r="BQ11" i="5"/>
  <c r="BS11" i="5" s="1"/>
  <c r="BW9" i="5"/>
  <c r="BX8" i="5"/>
  <c r="BY8" i="5" s="1"/>
  <c r="BJ12" i="5"/>
  <c r="Z12" i="5"/>
  <c r="BI12" i="5" l="1"/>
  <c r="BK12" i="5" s="1"/>
  <c r="BW10" i="5"/>
  <c r="BX9" i="5"/>
  <c r="BY9" i="5" s="1"/>
  <c r="AA12" i="5"/>
  <c r="BD12" i="5"/>
  <c r="BE12" i="5" s="1"/>
  <c r="BW11" i="5" l="1"/>
  <c r="BX10" i="5"/>
  <c r="BY10" i="5" s="1"/>
  <c r="BG12" i="5"/>
  <c r="BM12" i="5" s="1"/>
  <c r="BN12" i="5" s="1"/>
  <c r="X13" i="5"/>
  <c r="Y13" i="5" s="1"/>
  <c r="BJ13" i="5" s="1"/>
  <c r="BU12" i="5"/>
  <c r="BO12" i="5" l="1"/>
  <c r="BW12" i="5" s="1"/>
  <c r="BX12" i="5" s="1"/>
  <c r="AH12" i="5"/>
  <c r="AI12" i="5" s="1"/>
  <c r="BX11" i="5"/>
  <c r="BY11" i="5" s="1"/>
  <c r="Z13" i="5"/>
  <c r="AF13" i="5" l="1"/>
  <c r="AG13" i="5" s="1"/>
  <c r="BQ12" i="5"/>
  <c r="BS12" i="5" s="1"/>
  <c r="BY12" i="5" s="1"/>
  <c r="AA13" i="5"/>
  <c r="BD13" i="5"/>
  <c r="BE13" i="5" s="1"/>
  <c r="BI13" i="5" l="1"/>
  <c r="BK13" i="5" s="1"/>
  <c r="BG13" i="5"/>
  <c r="BU13" i="5"/>
  <c r="X14" i="5"/>
  <c r="Y14" i="5" s="1"/>
  <c r="BJ14" i="5" s="1"/>
  <c r="BM13" i="5" l="1"/>
  <c r="BN13" i="5" s="1"/>
  <c r="AH13" i="5" s="1"/>
  <c r="AI13" i="5" s="1"/>
  <c r="Z14" i="5"/>
  <c r="BO13" i="5" l="1"/>
  <c r="BW13" i="5" s="1"/>
  <c r="BX13" i="5" s="1"/>
  <c r="AF14" i="5"/>
  <c r="AG14" i="5" s="1"/>
  <c r="BQ13" i="5"/>
  <c r="BS13" i="5" s="1"/>
  <c r="AA14" i="5"/>
  <c r="BD14" i="5"/>
  <c r="BE14" i="5" s="1"/>
  <c r="BG14" i="5" s="1"/>
  <c r="BY13" i="5" l="1"/>
  <c r="BI14" i="5"/>
  <c r="BK14" i="5" s="1"/>
  <c r="BM14" i="5" s="1"/>
  <c r="BN14" i="5" s="1"/>
  <c r="X15" i="5"/>
  <c r="BU14" i="5"/>
  <c r="BO14" i="5" l="1"/>
  <c r="BW14" i="5" s="1"/>
  <c r="BX14" i="5" s="1"/>
  <c r="AH14" i="5"/>
  <c r="AI14" i="5" s="1"/>
  <c r="Y15" i="5"/>
  <c r="BQ14" i="5" l="1"/>
  <c r="BS14" i="5" s="1"/>
  <c r="BY14" i="5" s="1"/>
  <c r="AF15" i="5"/>
  <c r="AG15" i="5" s="1"/>
  <c r="BJ15" i="5"/>
  <c r="Z15" i="5"/>
  <c r="BI15" i="5" l="1"/>
  <c r="BK15" i="5" s="1"/>
  <c r="AA15" i="5"/>
  <c r="BD15" i="5"/>
  <c r="BE15" i="5" s="1"/>
  <c r="BG15" i="5" l="1"/>
  <c r="BM15" i="5" s="1"/>
  <c r="BN15" i="5" s="1"/>
  <c r="X16" i="5"/>
  <c r="BU15" i="5"/>
  <c r="BO15" i="5" l="1"/>
  <c r="BW15" i="5" s="1"/>
  <c r="BX15" i="5" s="1"/>
  <c r="AH15" i="5"/>
  <c r="AI15" i="5" s="1"/>
  <c r="Y16" i="5"/>
  <c r="BQ15" i="5" l="1"/>
  <c r="BS15" i="5" s="1"/>
  <c r="BY15" i="5" s="1"/>
  <c r="AF16" i="5"/>
  <c r="AG16" i="5" s="1"/>
  <c r="BJ16" i="5"/>
  <c r="Z16" i="5"/>
  <c r="BI16" i="5" l="1"/>
  <c r="BK16" i="5" s="1"/>
  <c r="AA16" i="5"/>
  <c r="BU16" i="5" s="1"/>
  <c r="BD16" i="5"/>
  <c r="BE16" i="5" s="1"/>
  <c r="BG16" i="5" l="1"/>
  <c r="BM16" i="5" s="1"/>
  <c r="BN16" i="5" s="1"/>
  <c r="BO16" i="5" l="1"/>
  <c r="BW16" i="5" s="1"/>
  <c r="BX16" i="5" s="1"/>
  <c r="AH16" i="5"/>
  <c r="AI16" i="5" s="1"/>
  <c r="BQ16" i="5" s="1"/>
  <c r="BS16" i="5" s="1"/>
  <c r="BY16" i="5" l="1"/>
</calcChain>
</file>

<file path=xl/comments1.xml><?xml version="1.0" encoding="utf-8"?>
<comments xmlns="http://schemas.openxmlformats.org/spreadsheetml/2006/main">
  <authors>
    <author>Kelvin Yap</author>
  </authors>
  <commentList>
    <comment ref="E4" authorId="0" shapeId="0">
      <text>
        <r>
          <rPr>
            <b/>
            <sz val="9"/>
            <color indexed="81"/>
            <rFont val="Tahoma"/>
            <family val="2"/>
          </rPr>
          <t>Kelvin Yap:</t>
        </r>
        <r>
          <rPr>
            <sz val="9"/>
            <color indexed="81"/>
            <rFont val="Tahoma"/>
            <family val="2"/>
          </rPr>
          <t xml:space="preserve">
Only earns interest on Reserve, whilst the IFRS 17 projections earn on Cash Balance</t>
        </r>
      </text>
    </comment>
    <comment ref="AK4" authorId="0" shapeId="0">
      <text>
        <r>
          <rPr>
            <b/>
            <sz val="9"/>
            <color indexed="81"/>
            <rFont val="Tahoma"/>
            <family val="2"/>
          </rPr>
          <t>Kelvin Yap:</t>
        </r>
        <r>
          <rPr>
            <sz val="9"/>
            <color indexed="81"/>
            <rFont val="Tahoma"/>
            <family val="2"/>
          </rPr>
          <t xml:space="preserve">
We assume that the investment component = PV of Maturity. This may be different, eg SV</t>
        </r>
      </text>
    </comment>
    <comment ref="AM4" authorId="0" shapeId="0">
      <text>
        <r>
          <rPr>
            <b/>
            <sz val="9"/>
            <color indexed="81"/>
            <rFont val="Tahoma"/>
            <family val="2"/>
          </rPr>
          <t>Kelvin Yap:</t>
        </r>
        <r>
          <rPr>
            <sz val="9"/>
            <color indexed="81"/>
            <rFont val="Tahoma"/>
            <family val="2"/>
          </rPr>
          <t xml:space="preserve">
Only insurance component will generate revenue</t>
        </r>
      </text>
    </comment>
    <comment ref="BG4" authorId="0" shapeId="0">
      <text>
        <r>
          <rPr>
            <b/>
            <sz val="9"/>
            <color indexed="81"/>
            <rFont val="Tahoma"/>
            <family val="2"/>
          </rPr>
          <t>Kelvin Yap:</t>
        </r>
        <r>
          <rPr>
            <sz val="9"/>
            <color indexed="81"/>
            <rFont val="Tahoma"/>
            <family val="2"/>
          </rPr>
          <t xml:space="preserve">
When A = E, the profit will be equal to RA + CSM Release</t>
        </r>
      </text>
    </comment>
    <comment ref="BI4" authorId="0" shapeId="0">
      <text>
        <r>
          <rPr>
            <b/>
            <sz val="9"/>
            <color indexed="81"/>
            <rFont val="Tahoma"/>
            <family val="2"/>
          </rPr>
          <t>Kelvin Yap:</t>
        </r>
        <r>
          <rPr>
            <sz val="9"/>
            <color indexed="81"/>
            <rFont val="Tahoma"/>
            <family val="2"/>
          </rPr>
          <t xml:space="preserve">
 IFRS 17 projections earn on Cash Balance, whilst earlier model only earns on reserve</t>
        </r>
      </text>
    </comment>
    <comment ref="BN4" authorId="0" shapeId="0">
      <text>
        <r>
          <rPr>
            <b/>
            <sz val="9"/>
            <color indexed="81"/>
            <rFont val="Tahoma"/>
            <family val="2"/>
          </rPr>
          <t>Kelvin Yap:</t>
        </r>
        <r>
          <rPr>
            <sz val="9"/>
            <color indexed="81"/>
            <rFont val="Tahoma"/>
            <family val="2"/>
          </rPr>
          <t xml:space="preserve">
There are tax differences in our assumptions  on investment return.</t>
        </r>
      </text>
    </comment>
  </commentList>
</comments>
</file>

<file path=xl/sharedStrings.xml><?xml version="1.0" encoding="utf-8"?>
<sst xmlns="http://schemas.openxmlformats.org/spreadsheetml/2006/main" count="222" uniqueCount="98">
  <si>
    <t xml:space="preserve">Premiums </t>
  </si>
  <si>
    <t>Increase in reserve</t>
  </si>
  <si>
    <t>Investment income</t>
  </si>
  <si>
    <t>Expenses</t>
  </si>
  <si>
    <t>Commission</t>
  </si>
  <si>
    <t>Investment income tax</t>
  </si>
  <si>
    <t>Before tax Profit</t>
  </si>
  <si>
    <t>Income tax</t>
  </si>
  <si>
    <t>Profit</t>
  </si>
  <si>
    <t>PY</t>
  </si>
  <si>
    <t>Contribution to free surplus</t>
  </si>
  <si>
    <t>Increase in Capital</t>
  </si>
  <si>
    <t>NPV</t>
  </si>
  <si>
    <t>Discount rate</t>
  </si>
  <si>
    <t>Target RBC</t>
  </si>
  <si>
    <t/>
  </si>
  <si>
    <t>Premium</t>
  </si>
  <si>
    <t>Death Benefit</t>
  </si>
  <si>
    <t>Maturity</t>
  </si>
  <si>
    <t>Claims (Death)</t>
  </si>
  <si>
    <t>Claims (Maturity)</t>
  </si>
  <si>
    <t>Required Capital</t>
  </si>
  <si>
    <t>Design</t>
  </si>
  <si>
    <t>Reserve</t>
  </si>
  <si>
    <t>BEL</t>
  </si>
  <si>
    <t>RA</t>
  </si>
  <si>
    <t>Risk Free Rate</t>
  </si>
  <si>
    <t>Illiquidity Premium</t>
  </si>
  <si>
    <t>FCF</t>
  </si>
  <si>
    <t xml:space="preserve">Slide </t>
  </si>
  <si>
    <t>CSM</t>
  </si>
  <si>
    <t>Starting CSM</t>
  </si>
  <si>
    <t>Note: A positive Reserve denotes an Asset; a negative denotes a liability</t>
  </si>
  <si>
    <t>Interest</t>
  </si>
  <si>
    <t>Ending CSM</t>
  </si>
  <si>
    <t>Coverage Units (DB)</t>
  </si>
  <si>
    <t>CSM Amortization Factor</t>
  </si>
  <si>
    <t>Unwinding to Profit</t>
  </si>
  <si>
    <t>Insurance Component</t>
  </si>
  <si>
    <t>Starting BEL</t>
  </si>
  <si>
    <t>Ending BEL</t>
  </si>
  <si>
    <t>Expected Claims - Insurance</t>
  </si>
  <si>
    <t>Expected Claims - Investment</t>
  </si>
  <si>
    <t>RA Release</t>
  </si>
  <si>
    <t>Total Death Claims</t>
  </si>
  <si>
    <t>PV Maturity (Investment Component)</t>
  </si>
  <si>
    <t>P&amp;L</t>
  </si>
  <si>
    <t>CSM Release</t>
  </si>
  <si>
    <t>Insurance Profit</t>
  </si>
  <si>
    <t>Investment Return</t>
  </si>
  <si>
    <t>Financing Costs</t>
  </si>
  <si>
    <t>Investment Profit</t>
  </si>
  <si>
    <t>Total Profit</t>
  </si>
  <si>
    <t>Starting Cash</t>
  </si>
  <si>
    <t>Ending Cash</t>
  </si>
  <si>
    <t>Insurance Revenue - Exp Claims</t>
  </si>
  <si>
    <t>Insurance Expenses (Claims)</t>
  </si>
  <si>
    <t>Balance Sheet</t>
  </si>
  <si>
    <t>Cash</t>
  </si>
  <si>
    <t>FCF (Assets)</t>
  </si>
  <si>
    <t>FCF (Liabilities)</t>
  </si>
  <si>
    <t>Retained Loss</t>
  </si>
  <si>
    <t>Retained Profit</t>
  </si>
  <si>
    <t>Split Death Claims into investment and insurance</t>
  </si>
  <si>
    <t>Expected Expenses</t>
  </si>
  <si>
    <t>Investment Component</t>
  </si>
  <si>
    <t>Premiums Received</t>
  </si>
  <si>
    <t>Expected Commissions</t>
  </si>
  <si>
    <t>Insurance Revenue</t>
  </si>
  <si>
    <t xml:space="preserve"> Exp Claims</t>
  </si>
  <si>
    <t>Total Assets</t>
  </si>
  <si>
    <t>Total Liabilities</t>
  </si>
  <si>
    <t>Exp Comm</t>
  </si>
  <si>
    <t>Expected Maturity</t>
  </si>
  <si>
    <t>Check</t>
  </si>
  <si>
    <t>Simple IFRS 17 Calculation Example</t>
  </si>
  <si>
    <t xml:space="preserve">Disclaimer: This IFRS 17 example serves as a teaching guide to illustrate some key concepts. </t>
  </si>
  <si>
    <t>Amortize to P&amp;L</t>
  </si>
  <si>
    <t>Please note that in the earlier model all cashflows occur at the end of period</t>
  </si>
  <si>
    <t>Assume Actual CF = Expected CF</t>
  </si>
  <si>
    <t>Insurance  Expenses</t>
  </si>
  <si>
    <t>PAD Rate</t>
  </si>
  <si>
    <t>Total Profit before Tax</t>
  </si>
  <si>
    <t>Tax</t>
  </si>
  <si>
    <t>Total Profit after Tax</t>
  </si>
  <si>
    <t>Tax (25% of profits)</t>
  </si>
  <si>
    <t>There are limitations in this model (eg loss components not modelled) and should not be used for production purposes</t>
  </si>
  <si>
    <t>Split Death Benefit into investment and insurance</t>
  </si>
  <si>
    <t>Death Ben - Insurance Component</t>
  </si>
  <si>
    <t>Death Ben - Investment Component</t>
  </si>
  <si>
    <t>Total Death Benefit</t>
  </si>
  <si>
    <t>Profit &amp; Loss</t>
  </si>
  <si>
    <t>Initial Cashflow Projections from earlier simplified model. All cashflows occur at the end of period. Only Expected Cash Flows are used for the IFRS 17 modelling</t>
  </si>
  <si>
    <t>The IFRS 17 specific cashflows starts from here</t>
  </si>
  <si>
    <t>Risk Adjustment</t>
  </si>
  <si>
    <t>FCF (BEL + RA)</t>
  </si>
  <si>
    <t>&gt;</t>
  </si>
  <si>
    <t>The author disclaims all responsibility for usage of this model.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</si>
</sst>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8" formatCode="&quot;$&quot;#,##0.00_);[Red]\(&quot;$&quot;#,##0.00\)"/>
    <numFmt numFmtId="43" formatCode="_(* #,##0.00_);_(* \(#,##0.00\);_(* &quot;-&quot;??_);_(@_)"/>
    <numFmt numFmtId="164" formatCode="0.0%"/>
    <numFmt numFmtId="165" formatCode="0.00000"/>
    <numFmt numFmtId="166" formatCode="0.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color theme="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1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double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51">
    <xf numFmtId="0" fontId="0" fillId="0" borderId="0" xfId="0"/>
    <xf numFmtId="8" fontId="0" fillId="0" borderId="0" xfId="0" applyNumberFormat="1"/>
    <xf numFmtId="0" fontId="0" fillId="0" borderId="1" xfId="0" applyBorder="1"/>
    <xf numFmtId="2" fontId="0" fillId="0" borderId="2" xfId="0" applyNumberFormat="1" applyBorder="1"/>
    <xf numFmtId="2" fontId="0" fillId="0" borderId="3" xfId="0" applyNumberFormat="1" applyBorder="1"/>
    <xf numFmtId="0" fontId="0" fillId="0" borderId="0" xfId="0" quotePrefix="1"/>
    <xf numFmtId="2" fontId="0" fillId="0" borderId="0" xfId="0" applyNumberFormat="1" applyFill="1" applyBorder="1"/>
    <xf numFmtId="0" fontId="0" fillId="0" borderId="1" xfId="0" applyBorder="1" applyAlignment="1">
      <alignment horizontal="center"/>
    </xf>
    <xf numFmtId="0" fontId="0" fillId="3" borderId="5" xfId="0" applyFill="1" applyBorder="1" applyAlignment="1">
      <alignment horizontal="center"/>
    </xf>
    <xf numFmtId="9" fontId="0" fillId="2" borderId="4" xfId="0" applyNumberFormat="1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8" fontId="0" fillId="4" borderId="5" xfId="1" applyNumberFormat="1" applyFont="1" applyFill="1" applyBorder="1"/>
    <xf numFmtId="8" fontId="0" fillId="4" borderId="10" xfId="1" applyNumberFormat="1" applyFont="1" applyFill="1" applyBorder="1"/>
    <xf numFmtId="0" fontId="2" fillId="3" borderId="7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2" fontId="0" fillId="0" borderId="11" xfId="0" applyNumberFormat="1" applyBorder="1"/>
    <xf numFmtId="2" fontId="0" fillId="0" borderId="12" xfId="0" applyNumberFormat="1" applyBorder="1"/>
    <xf numFmtId="2" fontId="0" fillId="0" borderId="13" xfId="0" applyNumberFormat="1" applyBorder="1"/>
    <xf numFmtId="2" fontId="0" fillId="0" borderId="14" xfId="0" applyNumberFormat="1" applyBorder="1"/>
    <xf numFmtId="0" fontId="2" fillId="3" borderId="6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vertical="center"/>
    </xf>
    <xf numFmtId="0" fontId="0" fillId="0" borderId="15" xfId="0" applyBorder="1"/>
    <xf numFmtId="0" fontId="0" fillId="0" borderId="16" xfId="0" applyBorder="1"/>
    <xf numFmtId="9" fontId="0" fillId="0" borderId="0" xfId="0" applyNumberForma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17" xfId="0" applyBorder="1"/>
    <xf numFmtId="8" fontId="0" fillId="0" borderId="18" xfId="1" applyNumberFormat="1" applyFont="1" applyFill="1" applyBorder="1"/>
    <xf numFmtId="0" fontId="0" fillId="0" borderId="0" xfId="0" applyFill="1" applyBorder="1"/>
    <xf numFmtId="0" fontId="0" fillId="0" borderId="0" xfId="0" applyFill="1"/>
    <xf numFmtId="8" fontId="0" fillId="0" borderId="4" xfId="1" applyNumberFormat="1" applyFont="1" applyFill="1" applyBorder="1"/>
    <xf numFmtId="0" fontId="0" fillId="0" borderId="4" xfId="0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2" fillId="6" borderId="0" xfId="0" applyFont="1" applyFill="1" applyBorder="1" applyAlignment="1">
      <alignment horizontal="center" vertical="center" wrapText="1"/>
    </xf>
    <xf numFmtId="0" fontId="2" fillId="7" borderId="6" xfId="0" applyFont="1" applyFill="1" applyBorder="1" applyAlignment="1">
      <alignment horizontal="center" vertical="center" wrapText="1"/>
    </xf>
    <xf numFmtId="0" fontId="2" fillId="7" borderId="7" xfId="0" applyFont="1" applyFill="1" applyBorder="1" applyAlignment="1">
      <alignment horizontal="center" vertical="center" wrapText="1"/>
    </xf>
    <xf numFmtId="2" fontId="0" fillId="7" borderId="3" xfId="0" applyNumberFormat="1" applyFill="1" applyBorder="1"/>
    <xf numFmtId="2" fontId="0" fillId="7" borderId="2" xfId="0" applyNumberFormat="1" applyFill="1" applyBorder="1"/>
    <xf numFmtId="2" fontId="0" fillId="7" borderId="13" xfId="0" applyNumberFormat="1" applyFill="1" applyBorder="1"/>
    <xf numFmtId="2" fontId="0" fillId="7" borderId="12" xfId="0" applyNumberFormat="1" applyFill="1" applyBorder="1"/>
    <xf numFmtId="0" fontId="2" fillId="7" borderId="8" xfId="0" applyFont="1" applyFill="1" applyBorder="1" applyAlignment="1">
      <alignment horizontal="center" vertical="center" wrapText="1"/>
    </xf>
    <xf numFmtId="2" fontId="0" fillId="7" borderId="11" xfId="0" applyNumberFormat="1" applyFill="1" applyBorder="1"/>
    <xf numFmtId="2" fontId="0" fillId="7" borderId="14" xfId="0" applyNumberFormat="1" applyFill="1" applyBorder="1"/>
    <xf numFmtId="0" fontId="2" fillId="3" borderId="15" xfId="0" applyFont="1" applyFill="1" applyBorder="1" applyAlignment="1">
      <alignment vertical="center"/>
    </xf>
    <xf numFmtId="0" fontId="2" fillId="3" borderId="3" xfId="0" applyFont="1" applyFill="1" applyBorder="1" applyAlignment="1">
      <alignment horizontal="center" vertical="center" wrapText="1"/>
    </xf>
    <xf numFmtId="0" fontId="2" fillId="7" borderId="3" xfId="0" applyFont="1" applyFill="1" applyBorder="1" applyAlignment="1">
      <alignment horizontal="center" vertical="center" wrapText="1"/>
    </xf>
    <xf numFmtId="0" fontId="2" fillId="7" borderId="2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7" borderId="11" xfId="0" applyFont="1" applyFill="1" applyBorder="1" applyAlignment="1">
      <alignment horizontal="center" vertical="center" wrapText="1"/>
    </xf>
    <xf numFmtId="0" fontId="0" fillId="3" borderId="5" xfId="0" applyFill="1" applyBorder="1" applyAlignment="1"/>
    <xf numFmtId="0" fontId="0" fillId="3" borderId="10" xfId="0" applyFill="1" applyBorder="1" applyAlignment="1"/>
    <xf numFmtId="0" fontId="0" fillId="3" borderId="10" xfId="0" applyFill="1" applyBorder="1" applyAlignment="1">
      <alignment horizontal="center"/>
    </xf>
    <xf numFmtId="0" fontId="0" fillId="5" borderId="5" xfId="0" applyFill="1" applyBorder="1" applyAlignment="1"/>
    <xf numFmtId="0" fontId="0" fillId="5" borderId="10" xfId="0" applyFill="1" applyBorder="1" applyAlignment="1"/>
    <xf numFmtId="164" fontId="0" fillId="5" borderId="4" xfId="0" applyNumberFormat="1" applyFill="1" applyBorder="1" applyAlignment="1">
      <alignment horizontal="center"/>
    </xf>
    <xf numFmtId="9" fontId="0" fillId="5" borderId="4" xfId="0" applyNumberFormat="1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2" fillId="6" borderId="19" xfId="0" applyFont="1" applyFill="1" applyBorder="1" applyAlignment="1">
      <alignment horizontal="center" vertical="center" wrapText="1"/>
    </xf>
    <xf numFmtId="0" fontId="2" fillId="6" borderId="17" xfId="0" applyFont="1" applyFill="1" applyBorder="1" applyAlignment="1">
      <alignment horizontal="center" vertical="center" wrapText="1"/>
    </xf>
    <xf numFmtId="0" fontId="2" fillId="6" borderId="20" xfId="0" applyFont="1" applyFill="1" applyBorder="1" applyAlignment="1">
      <alignment horizontal="center" vertical="center" wrapText="1"/>
    </xf>
    <xf numFmtId="8" fontId="0" fillId="0" borderId="18" xfId="0" applyNumberFormat="1" applyBorder="1"/>
    <xf numFmtId="0" fontId="0" fillId="0" borderId="0" xfId="0" applyBorder="1"/>
    <xf numFmtId="8" fontId="0" fillId="0" borderId="21" xfId="0" applyNumberFormat="1" applyBorder="1"/>
    <xf numFmtId="8" fontId="0" fillId="0" borderId="22" xfId="0" applyNumberFormat="1" applyBorder="1"/>
    <xf numFmtId="0" fontId="0" fillId="0" borderId="23" xfId="0" applyBorder="1"/>
    <xf numFmtId="8" fontId="0" fillId="0" borderId="24" xfId="0" applyNumberFormat="1" applyBorder="1"/>
    <xf numFmtId="0" fontId="0" fillId="0" borderId="18" xfId="0" applyBorder="1"/>
    <xf numFmtId="8" fontId="0" fillId="0" borderId="0" xfId="0" applyNumberFormat="1" applyBorder="1"/>
    <xf numFmtId="0" fontId="0" fillId="0" borderId="21" xfId="0" applyBorder="1"/>
    <xf numFmtId="165" fontId="0" fillId="0" borderId="21" xfId="0" applyNumberFormat="1" applyBorder="1"/>
    <xf numFmtId="8" fontId="0" fillId="0" borderId="23" xfId="0" applyNumberFormat="1" applyBorder="1"/>
    <xf numFmtId="165" fontId="0" fillId="0" borderId="24" xfId="0" applyNumberFormat="1" applyBorder="1"/>
    <xf numFmtId="0" fontId="3" fillId="0" borderId="0" xfId="0" applyFont="1"/>
    <xf numFmtId="0" fontId="2" fillId="6" borderId="0" xfId="0" applyFont="1" applyFill="1"/>
    <xf numFmtId="0" fontId="0" fillId="0" borderId="22" xfId="0" applyBorder="1"/>
    <xf numFmtId="2" fontId="0" fillId="0" borderId="0" xfId="0" applyNumberFormat="1"/>
    <xf numFmtId="0" fontId="2" fillId="6" borderId="25" xfId="0" applyFont="1" applyFill="1" applyBorder="1" applyAlignment="1">
      <alignment horizontal="center" vertical="center" wrapText="1"/>
    </xf>
    <xf numFmtId="0" fontId="2" fillId="6" borderId="28" xfId="0" applyFont="1" applyFill="1" applyBorder="1" applyAlignment="1">
      <alignment horizontal="center" vertical="center" wrapText="1"/>
    </xf>
    <xf numFmtId="0" fontId="2" fillId="0" borderId="0" xfId="0" applyFont="1"/>
    <xf numFmtId="0" fontId="4" fillId="0" borderId="0" xfId="0" applyFont="1"/>
    <xf numFmtId="0" fontId="2" fillId="6" borderId="31" xfId="0" applyFont="1" applyFill="1" applyBorder="1" applyAlignment="1">
      <alignment horizontal="center" vertical="center" wrapText="1"/>
    </xf>
    <xf numFmtId="0" fontId="2" fillId="6" borderId="34" xfId="0" applyFont="1" applyFill="1" applyBorder="1" applyAlignment="1">
      <alignment horizontal="center" vertical="center" wrapText="1"/>
    </xf>
    <xf numFmtId="166" fontId="2" fillId="7" borderId="3" xfId="0" applyNumberFormat="1" applyFont="1" applyFill="1" applyBorder="1" applyAlignment="1">
      <alignment horizontal="center" vertical="center" wrapText="1"/>
    </xf>
    <xf numFmtId="166" fontId="2" fillId="7" borderId="2" xfId="0" applyNumberFormat="1" applyFont="1" applyFill="1" applyBorder="1" applyAlignment="1">
      <alignment horizontal="center" vertical="center" wrapText="1"/>
    </xf>
    <xf numFmtId="166" fontId="2" fillId="7" borderId="11" xfId="0" applyNumberFormat="1" applyFont="1" applyFill="1" applyBorder="1" applyAlignment="1">
      <alignment horizontal="center" vertical="center" wrapText="1"/>
    </xf>
    <xf numFmtId="166" fontId="0" fillId="0" borderId="0" xfId="0" applyNumberFormat="1" applyAlignment="1">
      <alignment horizontal="center"/>
    </xf>
    <xf numFmtId="166" fontId="0" fillId="0" borderId="18" xfId="0" applyNumberFormat="1" applyBorder="1" applyAlignment="1">
      <alignment horizontal="center"/>
    </xf>
    <xf numFmtId="166" fontId="0" fillId="0" borderId="0" xfId="0" applyNumberFormat="1" applyBorder="1" applyAlignment="1">
      <alignment horizontal="center"/>
    </xf>
    <xf numFmtId="166" fontId="0" fillId="0" borderId="21" xfId="0" applyNumberFormat="1" applyBorder="1" applyAlignment="1">
      <alignment horizontal="center"/>
    </xf>
    <xf numFmtId="166" fontId="3" fillId="0" borderId="0" xfId="0" applyNumberFormat="1" applyFont="1" applyAlignment="1">
      <alignment horizontal="center"/>
    </xf>
    <xf numFmtId="166" fontId="0" fillId="0" borderId="2" xfId="0" applyNumberFormat="1" applyBorder="1" applyAlignment="1">
      <alignment horizontal="center"/>
    </xf>
    <xf numFmtId="166" fontId="0" fillId="0" borderId="26" xfId="0" applyNumberFormat="1" applyBorder="1" applyAlignment="1">
      <alignment horizontal="center"/>
    </xf>
    <xf numFmtId="166" fontId="0" fillId="0" borderId="32" xfId="0" applyNumberFormat="1" applyBorder="1" applyAlignment="1">
      <alignment horizontal="center"/>
    </xf>
    <xf numFmtId="166" fontId="0" fillId="0" borderId="29" xfId="0" applyNumberFormat="1" applyBorder="1" applyAlignment="1">
      <alignment horizontal="center"/>
    </xf>
    <xf numFmtId="166" fontId="0" fillId="0" borderId="3" xfId="0" applyNumberFormat="1" applyBorder="1" applyAlignment="1">
      <alignment horizontal="center"/>
    </xf>
    <xf numFmtId="166" fontId="0" fillId="7" borderId="3" xfId="0" applyNumberFormat="1" applyFill="1" applyBorder="1" applyAlignment="1">
      <alignment horizontal="center"/>
    </xf>
    <xf numFmtId="166" fontId="0" fillId="7" borderId="2" xfId="0" applyNumberFormat="1" applyFill="1" applyBorder="1" applyAlignment="1">
      <alignment horizontal="center"/>
    </xf>
    <xf numFmtId="166" fontId="0" fillId="7" borderId="11" xfId="0" applyNumberFormat="1" applyFill="1" applyBorder="1" applyAlignment="1">
      <alignment horizontal="center"/>
    </xf>
    <xf numFmtId="166" fontId="0" fillId="2" borderId="0" xfId="0" applyNumberFormat="1" applyFill="1" applyBorder="1" applyAlignment="1">
      <alignment horizontal="center"/>
    </xf>
    <xf numFmtId="166" fontId="2" fillId="0" borderId="2" xfId="0" applyNumberFormat="1" applyFont="1" applyBorder="1" applyAlignment="1">
      <alignment horizontal="center"/>
    </xf>
    <xf numFmtId="166" fontId="2" fillId="0" borderId="0" xfId="0" applyNumberFormat="1" applyFont="1" applyBorder="1" applyAlignment="1">
      <alignment horizontal="center"/>
    </xf>
    <xf numFmtId="166" fontId="2" fillId="0" borderId="26" xfId="0" applyNumberFormat="1" applyFont="1" applyBorder="1" applyAlignment="1">
      <alignment horizontal="center"/>
    </xf>
    <xf numFmtId="166" fontId="0" fillId="0" borderId="13" xfId="0" applyNumberFormat="1" applyBorder="1" applyAlignment="1">
      <alignment horizontal="center"/>
    </xf>
    <xf numFmtId="166" fontId="0" fillId="7" borderId="13" xfId="0" applyNumberFormat="1" applyFill="1" applyBorder="1" applyAlignment="1">
      <alignment horizontal="center"/>
    </xf>
    <xf numFmtId="166" fontId="0" fillId="7" borderId="12" xfId="0" applyNumberFormat="1" applyFill="1" applyBorder="1" applyAlignment="1">
      <alignment horizontal="center"/>
    </xf>
    <xf numFmtId="166" fontId="0" fillId="0" borderId="12" xfId="0" applyNumberFormat="1" applyBorder="1" applyAlignment="1">
      <alignment horizontal="center"/>
    </xf>
    <xf numFmtId="166" fontId="0" fillId="7" borderId="14" xfId="0" applyNumberFormat="1" applyFill="1" applyBorder="1" applyAlignment="1">
      <alignment horizontal="center"/>
    </xf>
    <xf numFmtId="166" fontId="0" fillId="0" borderId="22" xfId="0" applyNumberFormat="1" applyBorder="1" applyAlignment="1">
      <alignment horizontal="center"/>
    </xf>
    <xf numFmtId="166" fontId="0" fillId="0" borderId="23" xfId="0" applyNumberFormat="1" applyBorder="1" applyAlignment="1">
      <alignment horizontal="center"/>
    </xf>
    <xf numFmtId="166" fontId="0" fillId="0" borderId="24" xfId="0" applyNumberFormat="1" applyBorder="1" applyAlignment="1">
      <alignment horizontal="center"/>
    </xf>
    <xf numFmtId="166" fontId="0" fillId="2" borderId="23" xfId="0" applyNumberFormat="1" applyFill="1" applyBorder="1" applyAlignment="1">
      <alignment horizontal="center"/>
    </xf>
    <xf numFmtId="166" fontId="2" fillId="0" borderId="12" xfId="0" applyNumberFormat="1" applyFont="1" applyBorder="1" applyAlignment="1">
      <alignment horizontal="center"/>
    </xf>
    <xf numFmtId="166" fontId="2" fillId="0" borderId="23" xfId="0" applyNumberFormat="1" applyFont="1" applyBorder="1" applyAlignment="1">
      <alignment horizontal="center"/>
    </xf>
    <xf numFmtId="166" fontId="2" fillId="0" borderId="27" xfId="0" applyNumberFormat="1" applyFont="1" applyBorder="1" applyAlignment="1">
      <alignment horizontal="center"/>
    </xf>
    <xf numFmtId="166" fontId="0" fillId="0" borderId="33" xfId="0" applyNumberFormat="1" applyBorder="1" applyAlignment="1">
      <alignment horizontal="center"/>
    </xf>
    <xf numFmtId="166" fontId="0" fillId="0" borderId="27" xfId="0" applyNumberFormat="1" applyBorder="1" applyAlignment="1">
      <alignment horizontal="center"/>
    </xf>
    <xf numFmtId="166" fontId="0" fillId="0" borderId="30" xfId="0" applyNumberFormat="1" applyBorder="1" applyAlignment="1">
      <alignment horizontal="center"/>
    </xf>
    <xf numFmtId="0" fontId="2" fillId="8" borderId="17" xfId="0" applyFont="1" applyFill="1" applyBorder="1" applyAlignment="1">
      <alignment horizontal="center" vertical="center" wrapText="1"/>
    </xf>
    <xf numFmtId="166" fontId="0" fillId="8" borderId="0" xfId="0" applyNumberFormat="1" applyFill="1" applyBorder="1" applyAlignment="1">
      <alignment horizontal="center"/>
    </xf>
    <xf numFmtId="166" fontId="0" fillId="8" borderId="23" xfId="0" applyNumberFormat="1" applyFill="1" applyBorder="1" applyAlignment="1">
      <alignment horizontal="center"/>
    </xf>
    <xf numFmtId="0" fontId="2" fillId="6" borderId="35" xfId="0" applyFont="1" applyFill="1" applyBorder="1" applyAlignment="1">
      <alignment horizontal="center" vertical="center" wrapText="1"/>
    </xf>
    <xf numFmtId="166" fontId="3" fillId="0" borderId="22" xfId="0" applyNumberFormat="1" applyFont="1" applyBorder="1" applyAlignment="1">
      <alignment horizontal="center"/>
    </xf>
    <xf numFmtId="166" fontId="3" fillId="0" borderId="23" xfId="0" applyNumberFormat="1" applyFont="1" applyBorder="1" applyAlignment="1">
      <alignment horizontal="center"/>
    </xf>
    <xf numFmtId="166" fontId="3" fillId="0" borderId="24" xfId="0" applyNumberFormat="1" applyFont="1" applyBorder="1" applyAlignment="1">
      <alignment horizontal="center"/>
    </xf>
    <xf numFmtId="166" fontId="0" fillId="0" borderId="0" xfId="0" applyNumberFormat="1" applyFill="1" applyBorder="1" applyAlignment="1">
      <alignment horizontal="center"/>
    </xf>
    <xf numFmtId="166" fontId="0" fillId="0" borderId="23" xfId="0" applyNumberFormat="1" applyFill="1" applyBorder="1" applyAlignment="1">
      <alignment horizontal="center"/>
    </xf>
    <xf numFmtId="166" fontId="3" fillId="0" borderId="26" xfId="0" applyNumberFormat="1" applyFont="1" applyBorder="1" applyAlignment="1">
      <alignment horizontal="center"/>
    </xf>
    <xf numFmtId="166" fontId="3" fillId="0" borderId="2" xfId="0" applyNumberFormat="1" applyFont="1" applyBorder="1" applyAlignment="1">
      <alignment horizontal="center"/>
    </xf>
    <xf numFmtId="166" fontId="3" fillId="0" borderId="21" xfId="0" applyNumberFormat="1" applyFont="1" applyBorder="1" applyAlignment="1">
      <alignment horizontal="center"/>
    </xf>
    <xf numFmtId="166" fontId="3" fillId="0" borderId="0" xfId="0" applyNumberFormat="1" applyFont="1" applyBorder="1" applyAlignment="1">
      <alignment horizontal="center"/>
    </xf>
    <xf numFmtId="0" fontId="0" fillId="5" borderId="0" xfId="0" applyFill="1"/>
    <xf numFmtId="8" fontId="0" fillId="5" borderId="0" xfId="0" applyNumberFormat="1" applyFill="1"/>
    <xf numFmtId="0" fontId="2" fillId="5" borderId="4" xfId="0" applyFont="1" applyFill="1" applyBorder="1" applyAlignment="1">
      <alignment vertical="center"/>
    </xf>
    <xf numFmtId="0" fontId="2" fillId="5" borderId="6" xfId="0" applyFont="1" applyFill="1" applyBorder="1" applyAlignment="1">
      <alignment horizontal="center" vertical="center" wrapText="1"/>
    </xf>
    <xf numFmtId="0" fontId="2" fillId="5" borderId="15" xfId="0" applyFont="1" applyFill="1" applyBorder="1" applyAlignment="1">
      <alignment vertical="center"/>
    </xf>
    <xf numFmtId="166" fontId="2" fillId="5" borderId="3" xfId="0" applyNumberFormat="1" applyFont="1" applyFill="1" applyBorder="1" applyAlignment="1">
      <alignment horizontal="center" vertical="center" wrapText="1"/>
    </xf>
    <xf numFmtId="0" fontId="0" fillId="5" borderId="15" xfId="0" applyFill="1" applyBorder="1"/>
    <xf numFmtId="166" fontId="0" fillId="5" borderId="3" xfId="0" applyNumberFormat="1" applyFill="1" applyBorder="1" applyAlignment="1">
      <alignment horizontal="center"/>
    </xf>
    <xf numFmtId="0" fontId="0" fillId="5" borderId="16" xfId="0" applyFill="1" applyBorder="1"/>
    <xf numFmtId="166" fontId="0" fillId="5" borderId="13" xfId="0" applyNumberFormat="1" applyFill="1" applyBorder="1" applyAlignment="1">
      <alignment horizontal="center"/>
    </xf>
    <xf numFmtId="0" fontId="2" fillId="5" borderId="7" xfId="0" applyFont="1" applyFill="1" applyBorder="1" applyAlignment="1">
      <alignment horizontal="center" vertical="center" wrapText="1"/>
    </xf>
    <xf numFmtId="166" fontId="2" fillId="5" borderId="2" xfId="0" applyNumberFormat="1" applyFont="1" applyFill="1" applyBorder="1" applyAlignment="1">
      <alignment horizontal="center" vertical="center" wrapText="1"/>
    </xf>
    <xf numFmtId="166" fontId="0" fillId="5" borderId="2" xfId="0" applyNumberFormat="1" applyFill="1" applyBorder="1" applyAlignment="1">
      <alignment horizontal="center"/>
    </xf>
    <xf numFmtId="166" fontId="0" fillId="5" borderId="12" xfId="0" applyNumberFormat="1" applyFill="1" applyBorder="1" applyAlignment="1">
      <alignment horizontal="center"/>
    </xf>
    <xf numFmtId="0" fontId="0" fillId="8" borderId="0" xfId="0" applyFill="1"/>
    <xf numFmtId="0" fontId="0" fillId="3" borderId="4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7" fillId="8" borderId="0" xfId="0" applyFont="1" applyFill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2"/>
  <sheetViews>
    <sheetView workbookViewId="0">
      <selection activeCell="P3" sqref="P3"/>
    </sheetView>
  </sheetViews>
  <sheetFormatPr defaultRowHeight="14.4" x14ac:dyDescent="0.3"/>
  <cols>
    <col min="1" max="1" width="3.109375" bestFit="1" customWidth="1"/>
    <col min="2" max="2" width="10.33203125" bestFit="1" customWidth="1"/>
    <col min="3" max="3" width="10.33203125" customWidth="1"/>
    <col min="4" max="4" width="9.5546875" customWidth="1"/>
    <col min="5" max="5" width="11" customWidth="1"/>
    <col min="6" max="6" width="10.88671875" customWidth="1"/>
    <col min="7" max="7" width="9.33203125" bestFit="1" customWidth="1"/>
    <col min="8" max="8" width="10.44140625" customWidth="1"/>
    <col min="9" max="9" width="9.44140625" customWidth="1"/>
    <col min="10" max="10" width="11.5546875" customWidth="1"/>
    <col min="11" max="11" width="9.44140625" bestFit="1" customWidth="1"/>
    <col min="12" max="12" width="7.88671875" bestFit="1" customWidth="1"/>
    <col min="13" max="13" width="8" bestFit="1" customWidth="1"/>
    <col min="14" max="14" width="9" customWidth="1"/>
    <col min="16" max="16" width="12.44140625" customWidth="1"/>
  </cols>
  <sheetData>
    <row r="1" spans="1:18" ht="15" thickBot="1" x14ac:dyDescent="0.35"/>
    <row r="2" spans="1:18" ht="43.8" thickBot="1" x14ac:dyDescent="0.35">
      <c r="A2" s="20" t="s">
        <v>9</v>
      </c>
      <c r="B2" s="19" t="s">
        <v>0</v>
      </c>
      <c r="C2" s="19" t="s">
        <v>23</v>
      </c>
      <c r="D2" s="13" t="s">
        <v>1</v>
      </c>
      <c r="E2" s="13" t="s">
        <v>2</v>
      </c>
      <c r="F2" s="13" t="s">
        <v>5</v>
      </c>
      <c r="G2" s="13" t="s">
        <v>19</v>
      </c>
      <c r="H2" s="13" t="s">
        <v>20</v>
      </c>
      <c r="I2" s="13" t="s">
        <v>3</v>
      </c>
      <c r="J2" s="13" t="s">
        <v>4</v>
      </c>
      <c r="K2" s="13" t="s">
        <v>6</v>
      </c>
      <c r="L2" s="13" t="s">
        <v>7</v>
      </c>
      <c r="M2" s="13" t="s">
        <v>8</v>
      </c>
      <c r="N2" s="13" t="s">
        <v>21</v>
      </c>
      <c r="O2" s="13" t="s">
        <v>11</v>
      </c>
      <c r="P2" s="14" t="s">
        <v>10</v>
      </c>
    </row>
    <row r="3" spans="1:18" x14ac:dyDescent="0.3">
      <c r="A3" s="21">
        <v>0</v>
      </c>
      <c r="B3" s="4">
        <f>M19</f>
        <v>100</v>
      </c>
      <c r="C3" s="4">
        <f>NPV(5%,B4:$B$13)+NPV(5%,G4:$G$13)*1.2+NPV(5%,H4:$H$13)+NPV(5%,I4:$I$13)*1.2+NPV(5%,J4:$J$13)*1.2</f>
        <v>22.348566657863405</v>
      </c>
      <c r="D3" s="3">
        <f>C3</f>
        <v>22.348566657863405</v>
      </c>
      <c r="E3" s="3">
        <v>0</v>
      </c>
      <c r="F3" s="3">
        <f>E3*-0.15</f>
        <v>0</v>
      </c>
      <c r="G3" s="3">
        <f t="shared" ref="G3:G13" si="0">-1%*$M$21</f>
        <v>-70</v>
      </c>
      <c r="H3" s="3">
        <v>0</v>
      </c>
      <c r="I3" s="3">
        <v>-10</v>
      </c>
      <c r="J3" s="3">
        <f>-25%*B3</f>
        <v>-25</v>
      </c>
      <c r="K3" s="3">
        <f>B3+D3+E3+F3+G3+I3+J3+H3</f>
        <v>17.348566657863401</v>
      </c>
      <c r="L3" s="3">
        <f>-MAX(SUM(B3,D3,G3,I3,J3,H3)*25%,0)</f>
        <v>-4.3371416644658503</v>
      </c>
      <c r="M3" s="4">
        <f>K3+L3</f>
        <v>13.011424993397551</v>
      </c>
      <c r="N3" s="4">
        <f>5%*$M$18*SUM(G3:$G$13)+0.75%*$M$18*SUM(H3:$H$13)*(10-A3)</f>
        <v>-96.25</v>
      </c>
      <c r="O3" s="3">
        <f>N3</f>
        <v>-96.25</v>
      </c>
      <c r="P3" s="15">
        <f>M3+O3</f>
        <v>-83.238575006602446</v>
      </c>
    </row>
    <row r="4" spans="1:18" x14ac:dyDescent="0.3">
      <c r="A4" s="21">
        <v>1</v>
      </c>
      <c r="B4" s="4">
        <f>B3</f>
        <v>100</v>
      </c>
      <c r="C4" s="4">
        <f>NPV(5%,B5:$B$13)+NPV(5%,G5:$G$13)*1.2+NPV(5%,H5:$H$13)+NPV(5%,I5:$I$13)*1.2+NPV(5%,J5:$J$13)*1.2</f>
        <v>15.865994990756516</v>
      </c>
      <c r="D4" s="3">
        <f>C4-C3</f>
        <v>-6.4825716671068889</v>
      </c>
      <c r="E4" s="3">
        <f>-8%*SUM($D$3:D3)</f>
        <v>-1.7878853326290725</v>
      </c>
      <c r="F4" s="3">
        <f t="shared" ref="F4:F13" si="1">E4*-0.15</f>
        <v>0.26818279989436083</v>
      </c>
      <c r="G4" s="3">
        <f t="shared" si="0"/>
        <v>-70</v>
      </c>
      <c r="H4" s="3">
        <v>0</v>
      </c>
      <c r="I4" s="3">
        <v>-2</v>
      </c>
      <c r="J4" s="3">
        <f>-5%*B4</f>
        <v>-5</v>
      </c>
      <c r="K4" s="3">
        <f t="shared" ref="K4:K13" si="2">B4+D4+E4+F4+G4+I4+J4+H4</f>
        <v>14.997725800158392</v>
      </c>
      <c r="L4" s="3">
        <f t="shared" ref="L4:L13" si="3">-MAX(SUM(B4,D4,G4,I4,J4,H4)*25%,0)</f>
        <v>-4.129357083223276</v>
      </c>
      <c r="M4" s="4">
        <f t="shared" ref="M4:M13" si="4">K4+L4</f>
        <v>10.868368716935116</v>
      </c>
      <c r="N4" s="4">
        <f>5%*$M$18*SUM(G4:$G$13)+0.75%*$M$18*SUM(H4:$H$13)*(10-A4)</f>
        <v>-87.5</v>
      </c>
      <c r="O4" s="3">
        <f>N4-N3</f>
        <v>8.75</v>
      </c>
      <c r="P4" s="15">
        <f t="shared" ref="P4:P13" si="5">M4+O4</f>
        <v>19.618368716935116</v>
      </c>
    </row>
    <row r="5" spans="1:18" x14ac:dyDescent="0.3">
      <c r="A5" s="21">
        <v>2</v>
      </c>
      <c r="B5" s="4">
        <f>B3</f>
        <v>100</v>
      </c>
      <c r="C5" s="4">
        <f>NPV(5%,B6:$B$13)+NPV(5%,G6:$G$13)*1.2+NPV(5%,H6:$H$13)+NPV(5%,I6:$I$13)*1.2+NPV(5%,J6:$J$13)*1.2</f>
        <v>9.0592947402943409</v>
      </c>
      <c r="D5" s="3">
        <f t="shared" ref="D5:D12" si="6">C5-C4</f>
        <v>-6.8067002504621748</v>
      </c>
      <c r="E5" s="3">
        <f>-8%*SUM($D$3:D4)</f>
        <v>-1.2692795992605213</v>
      </c>
      <c r="F5" s="3">
        <f t="shared" si="1"/>
        <v>0.19039193988907818</v>
      </c>
      <c r="G5" s="3">
        <f t="shared" si="0"/>
        <v>-70</v>
      </c>
      <c r="H5" s="3">
        <v>0</v>
      </c>
      <c r="I5" s="3">
        <v>-2</v>
      </c>
      <c r="J5" s="3">
        <f t="shared" ref="J5:J13" si="7">-5%*B5</f>
        <v>-5</v>
      </c>
      <c r="K5" s="3">
        <f t="shared" si="2"/>
        <v>15.114412090166383</v>
      </c>
      <c r="L5" s="3">
        <f t="shared" si="3"/>
        <v>-4.0483249373844572</v>
      </c>
      <c r="M5" s="4">
        <f t="shared" si="4"/>
        <v>11.066087152781925</v>
      </c>
      <c r="N5" s="4">
        <f>5%*$M$18*SUM(G5:$G$13)+0.75%*$M$18*SUM(H5:$H$13)*(10-A5)</f>
        <v>-78.75</v>
      </c>
      <c r="O5" s="3">
        <f t="shared" ref="O5:O12" si="8">N5-N4</f>
        <v>8.75</v>
      </c>
      <c r="P5" s="15">
        <f t="shared" si="5"/>
        <v>19.816087152781925</v>
      </c>
    </row>
    <row r="6" spans="1:18" x14ac:dyDescent="0.3">
      <c r="A6" s="21">
        <v>3</v>
      </c>
      <c r="B6" s="4">
        <f t="shared" ref="B6:B12" si="9">B4</f>
        <v>100</v>
      </c>
      <c r="C6" s="4">
        <f>NPV(5%,B7:$B$13)+NPV(5%,G7:$G$13)*1.2+NPV(5%,H7:$H$13)+NPV(5%,I7:$I$13)*1.2+NPV(5%,J7:$J$13)*1.2</f>
        <v>1.912259477309143</v>
      </c>
      <c r="D6" s="3">
        <f t="shared" si="6"/>
        <v>-7.1470352629851979</v>
      </c>
      <c r="E6" s="3">
        <f>-8%*SUM($D$3:D5)</f>
        <v>-0.72474357922354726</v>
      </c>
      <c r="F6" s="3">
        <f t="shared" si="1"/>
        <v>0.10871153688353209</v>
      </c>
      <c r="G6" s="3">
        <f t="shared" si="0"/>
        <v>-70</v>
      </c>
      <c r="H6" s="3">
        <v>0</v>
      </c>
      <c r="I6" s="3">
        <v>-2</v>
      </c>
      <c r="J6" s="3">
        <f t="shared" si="7"/>
        <v>-5</v>
      </c>
      <c r="K6" s="3">
        <f t="shared" si="2"/>
        <v>15.236932694674792</v>
      </c>
      <c r="L6" s="3">
        <f t="shared" si="3"/>
        <v>-3.9632411842537003</v>
      </c>
      <c r="M6" s="4">
        <f t="shared" si="4"/>
        <v>11.273691510421092</v>
      </c>
      <c r="N6" s="4">
        <f>5%*$M$18*SUM(G6:$G$13)+0.75%*$M$18*SUM(H6:$H$13)*(10-A6)</f>
        <v>-70</v>
      </c>
      <c r="O6" s="3">
        <f t="shared" si="8"/>
        <v>8.75</v>
      </c>
      <c r="P6" s="15">
        <f t="shared" si="5"/>
        <v>20.023691510421092</v>
      </c>
    </row>
    <row r="7" spans="1:18" x14ac:dyDescent="0.3">
      <c r="A7" s="21">
        <v>4</v>
      </c>
      <c r="B7" s="4">
        <f t="shared" si="9"/>
        <v>100</v>
      </c>
      <c r="C7" s="4">
        <f>NPV(5%,B8:$B$13)+NPV(5%,G8:$G$13)*1.2+NPV(5%,H8:$H$13)+NPV(5%,I8:$I$13)*1.2+NPV(5%,J8:$J$13)*1.2</f>
        <v>-5.5921275488254256</v>
      </c>
      <c r="D7" s="3">
        <f t="shared" si="6"/>
        <v>-7.5043870261345687</v>
      </c>
      <c r="E7" s="3">
        <f>-8%*SUM($D$3:D6)</f>
        <v>-0.15298075818473145</v>
      </c>
      <c r="F7" s="3">
        <f t="shared" si="1"/>
        <v>2.2947113727709717E-2</v>
      </c>
      <c r="G7" s="3">
        <f t="shared" si="0"/>
        <v>-70</v>
      </c>
      <c r="H7" s="3">
        <v>0</v>
      </c>
      <c r="I7" s="3">
        <v>-2</v>
      </c>
      <c r="J7" s="3">
        <f>-5%*B7</f>
        <v>-5</v>
      </c>
      <c r="K7" s="3">
        <f t="shared" si="2"/>
        <v>15.365579329408419</v>
      </c>
      <c r="L7" s="3">
        <f t="shared" si="3"/>
        <v>-3.8739032434663585</v>
      </c>
      <c r="M7" s="4">
        <f t="shared" ref="M7:M12" si="10">K7+L7</f>
        <v>11.491676085942061</v>
      </c>
      <c r="N7" s="4">
        <f>5%*$M$18*SUM(G7:$G$13)+0.75%*$M$18*SUM(H7:$H$13)*(10-A7)</f>
        <v>-61.25</v>
      </c>
      <c r="O7" s="3">
        <f t="shared" si="8"/>
        <v>8.75</v>
      </c>
      <c r="P7" s="15">
        <f t="shared" ref="P7:P12" si="11">M7+O7</f>
        <v>20.241676085942061</v>
      </c>
    </row>
    <row r="8" spans="1:18" x14ac:dyDescent="0.3">
      <c r="A8" s="21">
        <v>5</v>
      </c>
      <c r="B8" s="4">
        <f t="shared" si="9"/>
        <v>100</v>
      </c>
      <c r="C8" s="4">
        <f>NPV(5%,B9:$B$13)+NPV(5%,G9:$G$13)*1.2+NPV(5%,H9:$H$13)+NPV(5%,I9:$I$13)*1.2+NPV(5%,J9:$J$13)*1.2</f>
        <v>-19.471733926266708</v>
      </c>
      <c r="D8" s="3">
        <f t="shared" si="6"/>
        <v>-13.879606377441283</v>
      </c>
      <c r="E8" s="3">
        <f>-8%*SUM($D$3:D7)</f>
        <v>0.44737020390603405</v>
      </c>
      <c r="F8" s="3">
        <f t="shared" si="1"/>
        <v>-6.7105530585905099E-2</v>
      </c>
      <c r="G8" s="3">
        <f t="shared" si="0"/>
        <v>-70</v>
      </c>
      <c r="H8" s="3">
        <v>0</v>
      </c>
      <c r="I8" s="3">
        <v>-2</v>
      </c>
      <c r="J8" s="3">
        <v>0</v>
      </c>
      <c r="K8" s="3">
        <f t="shared" si="2"/>
        <v>14.50065829587885</v>
      </c>
      <c r="L8" s="3">
        <f t="shared" si="3"/>
        <v>-3.5300984056396807</v>
      </c>
      <c r="M8" s="4">
        <f t="shared" si="10"/>
        <v>10.970559890239169</v>
      </c>
      <c r="N8" s="4">
        <f>5%*$M$18*SUM(G8:$G$13)+0.75%*$M$18*SUM(H8:$H$13)*(10-A8)</f>
        <v>-52.5</v>
      </c>
      <c r="O8" s="3">
        <f t="shared" si="8"/>
        <v>8.75</v>
      </c>
      <c r="P8" s="15">
        <f t="shared" si="11"/>
        <v>19.720559890239169</v>
      </c>
    </row>
    <row r="9" spans="1:18" x14ac:dyDescent="0.3">
      <c r="A9" s="21">
        <v>6</v>
      </c>
      <c r="B9" s="4">
        <f t="shared" si="9"/>
        <v>100</v>
      </c>
      <c r="C9" s="4">
        <f>NPV(5%,B10:$B$13)+NPV(5%,G10:$G$13)*1.2+NPV(5%,H10:$H$13)+NPV(5%,I10:$I$13)*1.2+NPV(5%,J10:$J$13)*1.2</f>
        <v>-34.0453206225801</v>
      </c>
      <c r="D9" s="3">
        <f t="shared" si="6"/>
        <v>-14.573586696313392</v>
      </c>
      <c r="E9" s="3">
        <f>-8%*SUM($D$3:D8)</f>
        <v>1.5577387141013368</v>
      </c>
      <c r="F9" s="3">
        <f t="shared" si="1"/>
        <v>-0.23366080711520051</v>
      </c>
      <c r="G9" s="3">
        <f t="shared" si="0"/>
        <v>-70</v>
      </c>
      <c r="H9" s="3">
        <v>0</v>
      </c>
      <c r="I9" s="3">
        <v>-2</v>
      </c>
      <c r="J9" s="3">
        <v>0</v>
      </c>
      <c r="K9" s="3">
        <f t="shared" si="2"/>
        <v>14.750491210672749</v>
      </c>
      <c r="L9" s="3">
        <f t="shared" si="3"/>
        <v>-3.3566033259216539</v>
      </c>
      <c r="M9" s="4">
        <f t="shared" si="10"/>
        <v>11.393887884751095</v>
      </c>
      <c r="N9" s="4">
        <f>5%*$M$18*SUM(G9:$G$13)+0.75%*$M$18*SUM(H9:$H$13)*(10-A9)</f>
        <v>-43.75</v>
      </c>
      <c r="O9" s="3">
        <f t="shared" si="8"/>
        <v>8.75</v>
      </c>
      <c r="P9" s="15">
        <f t="shared" si="11"/>
        <v>20.143887884751095</v>
      </c>
    </row>
    <row r="10" spans="1:18" x14ac:dyDescent="0.3">
      <c r="A10" s="21">
        <v>7</v>
      </c>
      <c r="B10" s="4">
        <f t="shared" si="9"/>
        <v>100</v>
      </c>
      <c r="C10" s="4">
        <f>NPV(5%,B11:$B$13)+NPV(5%,G11:$G$13)*1.2+NPV(5%,H11:$H$13)+NPV(5%,I11:$I$13)*1.2+NPV(5%,J11:$J$13)*1.2</f>
        <v>-49.347586653709087</v>
      </c>
      <c r="D10" s="3">
        <f t="shared" si="6"/>
        <v>-15.302266031128987</v>
      </c>
      <c r="E10" s="3">
        <f>-8%*SUM($D$3:D9)</f>
        <v>2.723625649806408</v>
      </c>
      <c r="F10" s="3">
        <f t="shared" si="1"/>
        <v>-0.40854384747096117</v>
      </c>
      <c r="G10" s="3">
        <f t="shared" si="0"/>
        <v>-70</v>
      </c>
      <c r="H10" s="3">
        <v>0</v>
      </c>
      <c r="I10" s="3">
        <v>-2</v>
      </c>
      <c r="J10" s="3">
        <v>0</v>
      </c>
      <c r="K10" s="3">
        <f t="shared" si="2"/>
        <v>15.012815771206448</v>
      </c>
      <c r="L10" s="3">
        <f t="shared" si="3"/>
        <v>-3.1744334922177515</v>
      </c>
      <c r="M10" s="4">
        <f t="shared" si="10"/>
        <v>11.838382278988696</v>
      </c>
      <c r="N10" s="4">
        <f>5%*$M$18*SUM(G10:$G$13)+0.75%*$M$18*SUM(H10:$H$13)*(10-A10)</f>
        <v>-35</v>
      </c>
      <c r="O10" s="3">
        <f t="shared" si="8"/>
        <v>8.75</v>
      </c>
      <c r="P10" s="15">
        <f t="shared" si="11"/>
        <v>20.588382278988696</v>
      </c>
    </row>
    <row r="11" spans="1:18" x14ac:dyDescent="0.3">
      <c r="A11" s="21">
        <v>8</v>
      </c>
      <c r="B11" s="4">
        <f t="shared" si="9"/>
        <v>100</v>
      </c>
      <c r="C11" s="4">
        <f>NPV(5%,B12:$B$13)+NPV(5%,G12:$G$13)*1.2+NPV(5%,H12:$H$13)+NPV(5%,I12:$I$13)*1.2+NPV(5%,J12:$J$13)*1.2</f>
        <v>-65.414965986394535</v>
      </c>
      <c r="D11" s="3">
        <f t="shared" si="6"/>
        <v>-16.067379332685448</v>
      </c>
      <c r="E11" s="3">
        <f>-8%*SUM($D$3:D10)</f>
        <v>3.9478069322967269</v>
      </c>
      <c r="F11" s="3">
        <f t="shared" si="1"/>
        <v>-0.59217103984450903</v>
      </c>
      <c r="G11" s="3">
        <f t="shared" si="0"/>
        <v>-70</v>
      </c>
      <c r="H11" s="3">
        <v>0</v>
      </c>
      <c r="I11" s="3">
        <v>-2</v>
      </c>
      <c r="J11" s="3">
        <v>0</v>
      </c>
      <c r="K11" s="3">
        <f t="shared" si="2"/>
        <v>15.288256559766765</v>
      </c>
      <c r="L11" s="3">
        <f t="shared" si="3"/>
        <v>-2.983155166828638</v>
      </c>
      <c r="M11" s="4">
        <f t="shared" si="10"/>
        <v>12.305101392938127</v>
      </c>
      <c r="N11" s="4">
        <f>5%*$M$18*SUM(G11:$G$13)+0.75%*$M$18*SUM(H11:$H$13)*(10-A11)</f>
        <v>-26.25</v>
      </c>
      <c r="O11" s="3">
        <f t="shared" si="8"/>
        <v>8.75</v>
      </c>
      <c r="P11" s="15">
        <f t="shared" si="11"/>
        <v>21.055101392938127</v>
      </c>
    </row>
    <row r="12" spans="1:18" x14ac:dyDescent="0.3">
      <c r="A12" s="21">
        <v>9</v>
      </c>
      <c r="B12" s="4">
        <f t="shared" si="9"/>
        <v>100</v>
      </c>
      <c r="C12" s="4">
        <f>NPV(5%,B13:$B$13)+NPV(5%,G13:$G$13)*1.2+NPV(5%,H13:$H$13)+NPV(5%,I13:$I$13)*1.2+NPV(5%,J13:$J$13)*1.2</f>
        <v>-82.285714285714278</v>
      </c>
      <c r="D12" s="3">
        <f t="shared" si="6"/>
        <v>-16.870748299319743</v>
      </c>
      <c r="E12" s="3">
        <f>-8%*SUM($D$3:D11)</f>
        <v>5.2331972789115628</v>
      </c>
      <c r="F12" s="3">
        <f t="shared" si="1"/>
        <v>-0.78497959183673438</v>
      </c>
      <c r="G12" s="3">
        <f t="shared" si="0"/>
        <v>-70</v>
      </c>
      <c r="H12" s="3">
        <v>0</v>
      </c>
      <c r="I12" s="3">
        <v>-2</v>
      </c>
      <c r="J12" s="3">
        <v>0</v>
      </c>
      <c r="K12" s="3">
        <f t="shared" si="2"/>
        <v>15.577469387755087</v>
      </c>
      <c r="L12" s="3">
        <f t="shared" si="3"/>
        <v>-2.7823129251700642</v>
      </c>
      <c r="M12" s="4">
        <f t="shared" si="10"/>
        <v>12.795156462585023</v>
      </c>
      <c r="N12" s="4">
        <f>5%*$M$18*SUM(G12:$G$13)+0.75%*$M$18*SUM(H12:$H$13)*(10-A12)</f>
        <v>-17.5</v>
      </c>
      <c r="O12" s="3">
        <f t="shared" si="8"/>
        <v>8.75</v>
      </c>
      <c r="P12" s="15">
        <f t="shared" si="11"/>
        <v>21.545156462585023</v>
      </c>
    </row>
    <row r="13" spans="1:18" ht="15" thickBot="1" x14ac:dyDescent="0.35">
      <c r="A13" s="22">
        <v>10</v>
      </c>
      <c r="B13" s="17"/>
      <c r="C13" s="17">
        <v>0</v>
      </c>
      <c r="D13" s="16">
        <f>-SUM(D3:D12)</f>
        <v>82.285714285714278</v>
      </c>
      <c r="E13" s="16">
        <f>-8%*SUM($D$3:D12)</f>
        <v>6.5828571428571427</v>
      </c>
      <c r="F13" s="16">
        <f t="shared" si="1"/>
        <v>-0.98742857142857132</v>
      </c>
      <c r="G13" s="16">
        <f t="shared" si="0"/>
        <v>-70</v>
      </c>
      <c r="H13" s="16">
        <f>-M22</f>
        <v>0</v>
      </c>
      <c r="I13" s="16">
        <v>-2</v>
      </c>
      <c r="J13" s="16">
        <f t="shared" si="7"/>
        <v>0</v>
      </c>
      <c r="K13" s="16">
        <f t="shared" si="2"/>
        <v>15.881142857142848</v>
      </c>
      <c r="L13" s="16">
        <f t="shared" si="3"/>
        <v>-2.5714285714285694</v>
      </c>
      <c r="M13" s="17">
        <f t="shared" si="4"/>
        <v>13.309714285714279</v>
      </c>
      <c r="N13" s="17">
        <f>5%*$M$18*SUM(G13:$G$13)+0.75%*$M$18*SUM(H13:$H$13)*(10-A13)</f>
        <v>-8.75</v>
      </c>
      <c r="O13" s="16">
        <f>-SUM(O3:O12)</f>
        <v>17.5</v>
      </c>
      <c r="P13" s="18">
        <f t="shared" si="5"/>
        <v>30.809714285714279</v>
      </c>
    </row>
    <row r="14" spans="1:18" ht="15" thickBot="1" x14ac:dyDescent="0.35">
      <c r="D14" s="5" t="s">
        <v>15</v>
      </c>
      <c r="O14" s="25"/>
    </row>
    <row r="15" spans="1:18" ht="15" thickBot="1" x14ac:dyDescent="0.35">
      <c r="D15" s="6"/>
      <c r="K15" s="148" t="s">
        <v>12</v>
      </c>
      <c r="L15" s="149"/>
      <c r="M15" s="11">
        <f>NPV($M$17,M3:M13)</f>
        <v>69.720116413266112</v>
      </c>
      <c r="N15" s="26"/>
      <c r="O15" s="29">
        <f>NPV($M$17,O3:O13)</f>
        <v>-39.27971667967531</v>
      </c>
      <c r="P15" s="12">
        <f>NPV($M$17,P3:P13)</f>
        <v>30.44039973359078</v>
      </c>
      <c r="R15" s="1"/>
    </row>
    <row r="16" spans="1:18" ht="15" thickBot="1" x14ac:dyDescent="0.35">
      <c r="D16" s="6"/>
      <c r="N16" s="27"/>
      <c r="O16" s="28"/>
    </row>
    <row r="17" spans="4:17" ht="15" thickBot="1" x14ac:dyDescent="0.35">
      <c r="D17" s="6"/>
      <c r="K17" s="148" t="s">
        <v>13</v>
      </c>
      <c r="L17" s="149"/>
      <c r="M17" s="9">
        <v>0.12</v>
      </c>
      <c r="N17" s="23"/>
    </row>
    <row r="18" spans="4:17" ht="15" thickBot="1" x14ac:dyDescent="0.35">
      <c r="K18" s="148" t="s">
        <v>14</v>
      </c>
      <c r="L18" s="149"/>
      <c r="M18" s="9">
        <v>2.5</v>
      </c>
      <c r="N18" s="23"/>
    </row>
    <row r="19" spans="4:17" ht="15" thickBot="1" x14ac:dyDescent="0.35">
      <c r="K19" s="148" t="s">
        <v>16</v>
      </c>
      <c r="L19" s="149"/>
      <c r="M19" s="10">
        <v>100</v>
      </c>
      <c r="N19" s="24"/>
      <c r="O19" s="147" t="s">
        <v>22</v>
      </c>
      <c r="P19" s="147"/>
      <c r="Q19" s="147"/>
    </row>
    <row r="20" spans="4:17" ht="15" thickBot="1" x14ac:dyDescent="0.35">
      <c r="K20" s="146" t="s">
        <v>22</v>
      </c>
      <c r="L20" s="146"/>
      <c r="M20" s="10">
        <v>1</v>
      </c>
      <c r="O20" s="7">
        <v>1</v>
      </c>
      <c r="P20" s="7">
        <v>2</v>
      </c>
      <c r="Q20" s="7">
        <v>3</v>
      </c>
    </row>
    <row r="21" spans="4:17" ht="15" thickBot="1" x14ac:dyDescent="0.35">
      <c r="K21" s="146" t="s">
        <v>17</v>
      </c>
      <c r="L21" s="146"/>
      <c r="M21" s="30">
        <f>HLOOKUP(M20,$O$20:$R$22,2,0)</f>
        <v>7000</v>
      </c>
      <c r="O21" s="2">
        <v>7000</v>
      </c>
      <c r="P21" s="2">
        <v>4000</v>
      </c>
      <c r="Q21" s="2">
        <v>800</v>
      </c>
    </row>
    <row r="22" spans="4:17" ht="15" thickBot="1" x14ac:dyDescent="0.35">
      <c r="K22" s="146" t="s">
        <v>18</v>
      </c>
      <c r="L22" s="146"/>
      <c r="M22" s="30">
        <f>HLOOKUP(M20,$O$20:$R$22,3,0)</f>
        <v>0</v>
      </c>
      <c r="O22" s="2">
        <v>0</v>
      </c>
      <c r="P22" s="2">
        <v>500</v>
      </c>
      <c r="Q22" s="2">
        <v>1000</v>
      </c>
    </row>
  </sheetData>
  <mergeCells count="8">
    <mergeCell ref="K22:L22"/>
    <mergeCell ref="O19:Q19"/>
    <mergeCell ref="K15:L15"/>
    <mergeCell ref="K17:L17"/>
    <mergeCell ref="K18:L18"/>
    <mergeCell ref="K19:L19"/>
    <mergeCell ref="K20:L20"/>
    <mergeCell ref="K21:L21"/>
  </mergeCell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K25"/>
  <sheetViews>
    <sheetView topLeftCell="H1" zoomScale="90" zoomScaleNormal="90" workbookViewId="0">
      <selection activeCell="U5" sqref="U5"/>
    </sheetView>
  </sheetViews>
  <sheetFormatPr defaultRowHeight="14.4" x14ac:dyDescent="0.3"/>
  <cols>
    <col min="1" max="1" width="3.109375" bestFit="1" customWidth="1"/>
    <col min="2" max="2" width="10.33203125" bestFit="1" customWidth="1"/>
    <col min="3" max="3" width="10.33203125" customWidth="1"/>
    <col min="4" max="4" width="9.5546875" customWidth="1"/>
    <col min="5" max="5" width="11" customWidth="1"/>
    <col min="6" max="6" width="10.88671875" customWidth="1"/>
    <col min="7" max="7" width="9.33203125" bestFit="1" customWidth="1"/>
    <col min="8" max="8" width="10.44140625" customWidth="1"/>
    <col min="9" max="9" width="9.44140625" customWidth="1"/>
    <col min="10" max="10" width="11.5546875" customWidth="1"/>
    <col min="11" max="11" width="9.44140625" bestFit="1" customWidth="1"/>
    <col min="12" max="12" width="7.88671875" bestFit="1" customWidth="1"/>
    <col min="13" max="13" width="8" bestFit="1" customWidth="1"/>
    <col min="14" max="14" width="9" customWidth="1"/>
    <col min="16" max="16" width="12.44140625" customWidth="1"/>
    <col min="17" max="17" width="4.109375" customWidth="1"/>
    <col min="21" max="21" width="3.21875" customWidth="1"/>
    <col min="24" max="24" width="10.33203125" customWidth="1"/>
    <col min="26" max="26" width="3.88671875" customWidth="1"/>
    <col min="28" max="28" width="12.33203125" customWidth="1"/>
    <col min="29" max="29" width="3.44140625" customWidth="1"/>
    <col min="32" max="32" width="11.21875" customWidth="1"/>
    <col min="33" max="33" width="2.88671875" style="73" customWidth="1"/>
    <col min="34" max="34" width="12.88671875" customWidth="1"/>
    <col min="35" max="35" width="13.21875" customWidth="1"/>
    <col min="36" max="36" width="11.44140625" customWidth="1"/>
    <col min="38" max="38" width="3.44140625" customWidth="1"/>
    <col min="39" max="39" width="9.5546875" bestFit="1" customWidth="1"/>
    <col min="42" max="45" width="11.21875" customWidth="1"/>
    <col min="46" max="46" width="9.5546875" bestFit="1" customWidth="1"/>
  </cols>
  <sheetData>
    <row r="1" spans="1:63" ht="15" thickBot="1" x14ac:dyDescent="0.35">
      <c r="H1" s="1"/>
      <c r="AH1" t="s">
        <v>63</v>
      </c>
      <c r="AV1" t="s">
        <v>46</v>
      </c>
      <c r="BF1" t="s">
        <v>57</v>
      </c>
    </row>
    <row r="2" spans="1:63" ht="58.2" thickBot="1" x14ac:dyDescent="0.35">
      <c r="A2" s="20" t="s">
        <v>9</v>
      </c>
      <c r="B2" s="19" t="s">
        <v>0</v>
      </c>
      <c r="C2" s="35" t="s">
        <v>23</v>
      </c>
      <c r="D2" s="36" t="s">
        <v>1</v>
      </c>
      <c r="E2" s="36" t="s">
        <v>2</v>
      </c>
      <c r="F2" s="36" t="s">
        <v>5</v>
      </c>
      <c r="G2" s="13" t="s">
        <v>19</v>
      </c>
      <c r="H2" s="13" t="s">
        <v>20</v>
      </c>
      <c r="I2" s="13" t="s">
        <v>3</v>
      </c>
      <c r="J2" s="13" t="s">
        <v>4</v>
      </c>
      <c r="K2" s="36" t="s">
        <v>6</v>
      </c>
      <c r="L2" s="36" t="s">
        <v>7</v>
      </c>
      <c r="M2" s="36" t="s">
        <v>8</v>
      </c>
      <c r="N2" s="36" t="s">
        <v>21</v>
      </c>
      <c r="O2" s="36" t="s">
        <v>11</v>
      </c>
      <c r="P2" s="41" t="s">
        <v>10</v>
      </c>
      <c r="R2" s="58" t="s">
        <v>24</v>
      </c>
      <c r="S2" s="59" t="s">
        <v>25</v>
      </c>
      <c r="T2" s="60" t="s">
        <v>28</v>
      </c>
      <c r="V2" s="58" t="s">
        <v>31</v>
      </c>
      <c r="W2" s="59" t="s">
        <v>33</v>
      </c>
      <c r="X2" s="59" t="s">
        <v>37</v>
      </c>
      <c r="Y2" s="60" t="s">
        <v>34</v>
      </c>
      <c r="Z2" s="25"/>
      <c r="AA2" s="58" t="s">
        <v>35</v>
      </c>
      <c r="AB2" s="60" t="s">
        <v>36</v>
      </c>
      <c r="AD2" s="58" t="s">
        <v>53</v>
      </c>
      <c r="AE2" s="59" t="s">
        <v>49</v>
      </c>
      <c r="AF2" s="60" t="s">
        <v>54</v>
      </c>
      <c r="AH2" s="58" t="s">
        <v>45</v>
      </c>
      <c r="AI2" s="59" t="s">
        <v>65</v>
      </c>
      <c r="AJ2" s="59" t="s">
        <v>38</v>
      </c>
      <c r="AK2" s="60" t="s">
        <v>44</v>
      </c>
      <c r="AM2" s="58" t="s">
        <v>39</v>
      </c>
      <c r="AN2" s="59" t="s">
        <v>33</v>
      </c>
      <c r="AO2" s="59" t="s">
        <v>66</v>
      </c>
      <c r="AP2" s="59" t="s">
        <v>41</v>
      </c>
      <c r="AQ2" s="59" t="s">
        <v>42</v>
      </c>
      <c r="AR2" s="59" t="s">
        <v>64</v>
      </c>
      <c r="AS2" s="59" t="s">
        <v>67</v>
      </c>
      <c r="AT2" s="60" t="s">
        <v>40</v>
      </c>
      <c r="AV2" s="74" t="s">
        <v>55</v>
      </c>
      <c r="AW2" s="74" t="s">
        <v>43</v>
      </c>
      <c r="AX2" s="74" t="s">
        <v>47</v>
      </c>
      <c r="AY2" s="34" t="s">
        <v>56</v>
      </c>
      <c r="AZ2" s="34" t="s">
        <v>48</v>
      </c>
      <c r="BA2" s="34" t="s">
        <v>49</v>
      </c>
      <c r="BB2" s="34" t="s">
        <v>50</v>
      </c>
      <c r="BC2" s="34" t="s">
        <v>51</v>
      </c>
      <c r="BD2" s="34" t="s">
        <v>52</v>
      </c>
      <c r="BF2" s="34" t="s">
        <v>58</v>
      </c>
      <c r="BG2" s="34" t="s">
        <v>59</v>
      </c>
      <c r="BH2" s="34" t="s">
        <v>61</v>
      </c>
      <c r="BI2" s="34" t="s">
        <v>30</v>
      </c>
      <c r="BJ2" s="34" t="s">
        <v>60</v>
      </c>
      <c r="BK2" s="34" t="s">
        <v>62</v>
      </c>
    </row>
    <row r="3" spans="1:63" x14ac:dyDescent="0.3">
      <c r="A3" s="44"/>
      <c r="B3" s="45"/>
      <c r="C3" s="46"/>
      <c r="D3" s="47"/>
      <c r="E3" s="47"/>
      <c r="F3" s="47"/>
      <c r="G3" s="48"/>
      <c r="H3" s="48"/>
      <c r="I3" s="48"/>
      <c r="J3" s="48"/>
      <c r="K3" s="47"/>
      <c r="L3" s="47"/>
      <c r="M3" s="46"/>
      <c r="N3" s="46"/>
      <c r="O3" s="47"/>
      <c r="P3" s="49"/>
      <c r="R3" s="61">
        <f>NPV($M$20,B4:$B$14)+NPV($M$20,G4:$G$14)+NPV($M$20,H4:$H$14)+NPV($M$20,I4:$I$14)+NPV($M$20,J4:$J$14)</f>
        <v>56.116011629510616</v>
      </c>
      <c r="S3" s="62">
        <f>+NPV($M$20,G4:$G$14)*0.2+NPV($M$20,I4:$I$14)*0.2+NPV($M$20,J4:$J$14)*0.2</f>
        <v>-26.275638440506647</v>
      </c>
      <c r="T3" s="63">
        <f>R3+S3</f>
        <v>29.840373189003969</v>
      </c>
      <c r="V3" s="67"/>
      <c r="W3" s="62"/>
      <c r="X3" s="62"/>
      <c r="Y3" s="63">
        <f>MIN(-T3,0)</f>
        <v>-29.840373189003969</v>
      </c>
      <c r="Z3" s="62"/>
      <c r="AA3" s="67"/>
      <c r="AB3" s="69"/>
      <c r="AD3" s="67"/>
      <c r="AE3" s="62"/>
      <c r="AF3" s="69"/>
      <c r="AH3" s="67"/>
      <c r="AI3" s="62"/>
      <c r="AJ3" s="62"/>
      <c r="AK3" s="69"/>
      <c r="AM3" s="67"/>
      <c r="AN3" s="62"/>
      <c r="AO3" s="62"/>
      <c r="AP3" s="62"/>
      <c r="AQ3" s="62"/>
      <c r="AR3" s="62"/>
      <c r="AS3" s="62"/>
      <c r="AT3" s="63">
        <f>R3</f>
        <v>56.116011629510616</v>
      </c>
    </row>
    <row r="4" spans="1:63" x14ac:dyDescent="0.3">
      <c r="A4" s="21">
        <v>0</v>
      </c>
      <c r="B4" s="4">
        <f>M22</f>
        <v>100</v>
      </c>
      <c r="C4" s="37">
        <f>NPV(5%,B5:$B$14)+NPV(5%,G5:$G$14)*1.2+NPV(5%,H5:$H$14)+NPV(5%,I5:$I$14)*1.2+NPV(5%,J5:$J$14)*1.2</f>
        <v>-17.067608151545798</v>
      </c>
      <c r="D4" s="38">
        <f>C4</f>
        <v>-17.067608151545798</v>
      </c>
      <c r="E4" s="38">
        <v>0</v>
      </c>
      <c r="F4" s="38">
        <f>E4*-0.15</f>
        <v>0</v>
      </c>
      <c r="G4" s="3">
        <f t="shared" ref="G4:G14" si="0">-1%*$M$24</f>
        <v>-8</v>
      </c>
      <c r="H4" s="3">
        <v>0</v>
      </c>
      <c r="I4" s="3">
        <v>-10</v>
      </c>
      <c r="J4" s="3">
        <f>-25%*B4</f>
        <v>-25</v>
      </c>
      <c r="K4" s="38">
        <f>B4+D4+E4+F4+G4+I4+J4+H4</f>
        <v>39.932391848454202</v>
      </c>
      <c r="L4" s="38">
        <f>-MAX(SUM(B4,D4,G4,I4,J4,H4)*25%,0)</f>
        <v>-9.9830979621135505</v>
      </c>
      <c r="M4" s="37">
        <f>K4+L4</f>
        <v>29.949293886340651</v>
      </c>
      <c r="N4" s="37">
        <f>5%*$M$21*SUM(G4:$G$14)+0.75%*$M$21*SUM(H4:$H$14)*(10-A4)</f>
        <v>-198.5</v>
      </c>
      <c r="O4" s="38">
        <f>N4</f>
        <v>-198.5</v>
      </c>
      <c r="P4" s="42"/>
      <c r="R4" s="61">
        <f>NPV($M$20,B5:$B$14)+NPV($M$20,G5:$G$14)+NPV($M$20,H5:$H$14)+NPV($M$20,I5:$I$14)+NPV($M$20,J5:$J$14)</f>
        <v>1.9218122109862179</v>
      </c>
      <c r="S4" s="62">
        <f>+NPV($M$20,G5:$G$14)*0.2+NPV($M$20,I5:$I$14)*0.2+NPV($M$20,J5:$J$14)*0.2</f>
        <v>-18.989420362531984</v>
      </c>
      <c r="T4" s="63">
        <f t="shared" ref="T4:T14" si="1">R4+S4</f>
        <v>-17.067608151545766</v>
      </c>
      <c r="V4" s="61">
        <f>Y3</f>
        <v>-29.840373189003969</v>
      </c>
      <c r="W4" s="68">
        <f>V4*$M$20</f>
        <v>-1.4920186594501985</v>
      </c>
      <c r="X4" s="68">
        <f>-SUM(V4:W4)*AB4</f>
        <v>2.848399258950379</v>
      </c>
      <c r="Y4" s="63">
        <f>SUM(V4:X4)</f>
        <v>-28.483992589503789</v>
      </c>
      <c r="Z4" s="62"/>
      <c r="AA4" s="67">
        <f>$M$24</f>
        <v>800</v>
      </c>
      <c r="AB4" s="70">
        <f>AA4/SUM(AA4:AA$14)</f>
        <v>9.0909090909090912E-2</v>
      </c>
      <c r="AD4" s="61">
        <f>AI3</f>
        <v>0</v>
      </c>
      <c r="AE4" s="68">
        <f>AD4*$M$20</f>
        <v>0</v>
      </c>
      <c r="AF4" s="63"/>
      <c r="AH4" s="61">
        <f>NPV($M$20,$H4:$H$14)</f>
        <v>-584.67928908643728</v>
      </c>
      <c r="AI4" s="68">
        <f>-AH4</f>
        <v>584.67928908643728</v>
      </c>
      <c r="AJ4" s="68">
        <f>MAX(0,AK4-AI4)</f>
        <v>215.32071091356272</v>
      </c>
      <c r="AK4" s="69">
        <f>$M$24</f>
        <v>800</v>
      </c>
      <c r="AM4" s="61">
        <f>AT3</f>
        <v>56.116011629510616</v>
      </c>
      <c r="AN4" s="68">
        <f>AM4*$M$20</f>
        <v>2.8058005814755309</v>
      </c>
      <c r="AO4" s="68">
        <f>B4</f>
        <v>100</v>
      </c>
      <c r="AP4" s="68">
        <f>G4*AJ4/AK4</f>
        <v>-2.1532071091356273</v>
      </c>
      <c r="AQ4" s="68">
        <f>G4*MIN(AK4,AI4)/AK4</f>
        <v>-5.8467928908643731</v>
      </c>
      <c r="AR4" s="68">
        <f>I4</f>
        <v>-10</v>
      </c>
      <c r="AS4" s="68">
        <f>J4</f>
        <v>-25</v>
      </c>
      <c r="AT4" s="63">
        <f>SUM(AM4:AS4)</f>
        <v>115.92181221098616</v>
      </c>
    </row>
    <row r="5" spans="1:63" x14ac:dyDescent="0.3">
      <c r="A5" s="21">
        <v>1</v>
      </c>
      <c r="B5" s="4">
        <f>B4</f>
        <v>100</v>
      </c>
      <c r="C5" s="37">
        <f>NPV(5%,B6:$B$14)+NPV(5%,G6:$G$14)*1.2+NPV(5%,H6:$H$14)+NPV(5%,I6:$I$14)*1.2+NPV(5%,J6:$J$14)*1.2</f>
        <v>-99.92098855912316</v>
      </c>
      <c r="D5" s="38">
        <f>C5-C4</f>
        <v>-82.853380407577362</v>
      </c>
      <c r="E5" s="38">
        <f>-8%*SUM($D$4:D4)</f>
        <v>1.3654086521236639</v>
      </c>
      <c r="F5" s="38">
        <f t="shared" ref="F5:F14" si="2">E5*-0.15</f>
        <v>-0.20481129781854959</v>
      </c>
      <c r="G5" s="3">
        <f t="shared" si="0"/>
        <v>-8</v>
      </c>
      <c r="H5" s="3">
        <v>0</v>
      </c>
      <c r="I5" s="3">
        <v>-2</v>
      </c>
      <c r="J5" s="3">
        <f>-5%*B5</f>
        <v>-5</v>
      </c>
      <c r="K5" s="38">
        <f t="shared" ref="K5:K14" si="3">B5+D5+E5+F5+G5+I5+J5+H5</f>
        <v>3.3072169467277526</v>
      </c>
      <c r="L5" s="38">
        <f t="shared" ref="L5:L14" si="4">-MAX(SUM(B5,D5,G5,I5,J5,H5)*25%,0)</f>
        <v>-0.53665489810565958</v>
      </c>
      <c r="M5" s="37">
        <f t="shared" ref="M5:M14" si="5">K5+L5</f>
        <v>2.770562048622093</v>
      </c>
      <c r="N5" s="37">
        <f>5%*$M$21*SUM(G5:$G$14)+0.75%*$M$21*SUM(H5:$H$14)*(10-A5)</f>
        <v>-178.75</v>
      </c>
      <c r="O5" s="38">
        <f>N5-N4</f>
        <v>19.75</v>
      </c>
      <c r="P5" s="42"/>
      <c r="R5" s="61">
        <f>NPV($M$20,B6:$B$14)+NPV($M$20,G6:$G$14)+NPV($M$20,H6:$H$14)+NPV($M$20,I6:$I$14)+NPV($M$20,J6:$J$14)</f>
        <v>-82.982097178464485</v>
      </c>
      <c r="S5" s="62">
        <f>+NPV($M$20,G6:$G$14)*0.2+NPV($M$20,I6:$I$14)*0.2+NPV($M$20,J6:$J$14)*0.2</f>
        <v>-16.938891380658585</v>
      </c>
      <c r="T5" s="63">
        <f t="shared" si="1"/>
        <v>-99.920988559123074</v>
      </c>
      <c r="V5" s="61">
        <f t="shared" ref="V5:V14" si="6">Y4</f>
        <v>-28.483992589503789</v>
      </c>
      <c r="W5" s="68">
        <f t="shared" ref="W5:W14" si="7">V5*$M$20</f>
        <v>-1.4241996294751895</v>
      </c>
      <c r="X5" s="68">
        <f t="shared" ref="X5:X14" si="8">-SUM(V5:W5)*AB5</f>
        <v>2.990819221897898</v>
      </c>
      <c r="Y5" s="63">
        <f t="shared" ref="Y5:Y14" si="9">SUM(V5:X5)</f>
        <v>-26.917372997081081</v>
      </c>
      <c r="Z5" s="62"/>
      <c r="AA5" s="67">
        <f t="shared" ref="AA5:AA14" si="10">$M$24</f>
        <v>800</v>
      </c>
      <c r="AB5" s="70">
        <f>AA5/SUM(AA5:AA$14)</f>
        <v>0.1</v>
      </c>
      <c r="AD5" s="61"/>
      <c r="AE5" s="68"/>
      <c r="AF5" s="63"/>
      <c r="AH5" s="61">
        <f>NPV($M$20,$H5:$H$14)</f>
        <v>-613.91325354075911</v>
      </c>
      <c r="AI5" s="68">
        <f t="shared" ref="AI5:AI14" si="11">-AH5</f>
        <v>613.91325354075911</v>
      </c>
      <c r="AJ5" s="68">
        <f t="shared" ref="AJ5:AJ14" si="12">MAX(0,AK5-AI5)</f>
        <v>186.08674645924089</v>
      </c>
      <c r="AK5" s="69">
        <f t="shared" ref="AK5:AK14" si="13">$M$24</f>
        <v>800</v>
      </c>
      <c r="AM5" s="61">
        <f t="shared" ref="AM5:AM14" si="14">AT4</f>
        <v>115.92181221098616</v>
      </c>
      <c r="AN5" s="68">
        <f t="shared" ref="AN5:AN14" si="15">AM5*$M$20</f>
        <v>5.7960906105493084</v>
      </c>
      <c r="AO5" s="68">
        <f t="shared" ref="AO5:AO14" si="16">B5</f>
        <v>100</v>
      </c>
      <c r="AP5" s="68">
        <f t="shared" ref="AP5:AP14" si="17">G5*AJ5/AK5</f>
        <v>-1.8608674645924088</v>
      </c>
      <c r="AQ5" s="68">
        <f t="shared" ref="AQ5:AQ14" si="18">G5*MIN(AK5,AI5)/AK5</f>
        <v>-6.1391325354075912</v>
      </c>
      <c r="AR5" s="68">
        <f t="shared" ref="AR5:AR14" si="19">I5</f>
        <v>-2</v>
      </c>
      <c r="AS5" s="68">
        <f t="shared" ref="AS5:AS14" si="20">J5</f>
        <v>-5</v>
      </c>
      <c r="AT5" s="63">
        <f t="shared" ref="AT5:AT14" si="21">SUM(AM5:AS5)</f>
        <v>206.71790282153546</v>
      </c>
    </row>
    <row r="6" spans="1:63" x14ac:dyDescent="0.3">
      <c r="A6" s="21">
        <v>2</v>
      </c>
      <c r="B6" s="4">
        <f>B4</f>
        <v>100</v>
      </c>
      <c r="C6" s="37">
        <f>NPV(5%,B7:$B$14)+NPV(5%,G7:$G$14)*1.2+NPV(5%,H7:$H$14)+NPV(5%,I7:$I$14)*1.2+NPV(5%,J7:$J$14)*1.2</f>
        <v>-186.91703798707923</v>
      </c>
      <c r="D6" s="38">
        <f t="shared" ref="D6:D13" si="22">C6-C5</f>
        <v>-86.996049427956066</v>
      </c>
      <c r="E6" s="38">
        <f>-8%*SUM($D$4:D5)</f>
        <v>7.9936790847298527</v>
      </c>
      <c r="F6" s="38">
        <f t="shared" si="2"/>
        <v>-1.1990518627094779</v>
      </c>
      <c r="G6" s="3">
        <f t="shared" si="0"/>
        <v>-8</v>
      </c>
      <c r="H6" s="3">
        <v>0</v>
      </c>
      <c r="I6" s="3">
        <v>-2</v>
      </c>
      <c r="J6" s="3">
        <f t="shared" ref="J6:J14" si="23">-5%*B6</f>
        <v>-5</v>
      </c>
      <c r="K6" s="38">
        <f t="shared" si="3"/>
        <v>4.7985777940643075</v>
      </c>
      <c r="L6" s="38">
        <f t="shared" si="4"/>
        <v>0</v>
      </c>
      <c r="M6" s="37">
        <f t="shared" si="5"/>
        <v>4.7985777940643075</v>
      </c>
      <c r="N6" s="37">
        <f>5%*$M$21*SUM(G6:$G$14)+0.75%*$M$21*SUM(H6:$H$14)*(10-A6)</f>
        <v>-159</v>
      </c>
      <c r="O6" s="38">
        <f t="shared" ref="O6:O13" si="24">N6-N5</f>
        <v>19.75</v>
      </c>
      <c r="P6" s="42"/>
      <c r="R6" s="61">
        <f>NPV($M$20,B7:$B$14)+NPV($M$20,G7:$G$14)+NPV($M$20,H7:$H$14)+NPV($M$20,I7:$I$14)+NPV($M$20,J7:$J$14)</f>
        <v>-172.13120203738771</v>
      </c>
      <c r="S6" s="62">
        <f>+NPV($M$20,G7:$G$14)*0.2+NPV($M$20,I7:$I$14)*0.2+NPV($M$20,J7:$J$14)*0.2</f>
        <v>-14.785835949691513</v>
      </c>
      <c r="T6" s="63">
        <f t="shared" si="1"/>
        <v>-186.91703798707923</v>
      </c>
      <c r="V6" s="61">
        <f t="shared" si="6"/>
        <v>-26.917372997081081</v>
      </c>
      <c r="W6" s="68">
        <f t="shared" si="7"/>
        <v>-1.3458686498540542</v>
      </c>
      <c r="X6" s="68">
        <f t="shared" si="8"/>
        <v>3.1403601829927927</v>
      </c>
      <c r="Y6" s="63">
        <f t="shared" si="9"/>
        <v>-25.122881463942342</v>
      </c>
      <c r="Z6" s="62"/>
      <c r="AA6" s="67">
        <f t="shared" si="10"/>
        <v>800</v>
      </c>
      <c r="AB6" s="70">
        <f>AA6/SUM(AA6:AA$14)</f>
        <v>0.1111111111111111</v>
      </c>
      <c r="AD6" s="61"/>
      <c r="AE6" s="68"/>
      <c r="AF6" s="63"/>
      <c r="AH6" s="61">
        <f>NPV($M$20,$H6:$H$14)</f>
        <v>-644.60891621779706</v>
      </c>
      <c r="AI6" s="68">
        <f t="shared" si="11"/>
        <v>644.60891621779706</v>
      </c>
      <c r="AJ6" s="68">
        <f t="shared" si="12"/>
        <v>155.39108378220294</v>
      </c>
      <c r="AK6" s="69">
        <f t="shared" si="13"/>
        <v>800</v>
      </c>
      <c r="AM6" s="61">
        <f t="shared" si="14"/>
        <v>206.71790282153546</v>
      </c>
      <c r="AN6" s="68">
        <f t="shared" si="15"/>
        <v>10.335895141076774</v>
      </c>
      <c r="AO6" s="68">
        <f t="shared" si="16"/>
        <v>100</v>
      </c>
      <c r="AP6" s="68">
        <f t="shared" si="17"/>
        <v>-1.5539108378220294</v>
      </c>
      <c r="AQ6" s="68">
        <f t="shared" si="18"/>
        <v>-6.4460891621779703</v>
      </c>
      <c r="AR6" s="68">
        <f t="shared" si="19"/>
        <v>-2</v>
      </c>
      <c r="AS6" s="68">
        <f t="shared" si="20"/>
        <v>-5</v>
      </c>
      <c r="AT6" s="63">
        <f t="shared" si="21"/>
        <v>302.05379796261224</v>
      </c>
    </row>
    <row r="7" spans="1:63" x14ac:dyDescent="0.3">
      <c r="A7" s="21">
        <v>3</v>
      </c>
      <c r="B7" s="4">
        <f t="shared" ref="B7:B13" si="25">B5</f>
        <v>100</v>
      </c>
      <c r="C7" s="37">
        <f>NPV(5%,B8:$B$14)+NPV(5%,G8:$G$14)*1.2+NPV(5%,H8:$H$14)+NPV(5%,I8:$I$14)*1.2+NPV(5%,J8:$J$14)*1.2</f>
        <v>-278.26288988643319</v>
      </c>
      <c r="D7" s="38">
        <f t="shared" si="22"/>
        <v>-91.34585189935396</v>
      </c>
      <c r="E7" s="38">
        <f>-8%*SUM($D$4:D6)</f>
        <v>14.953363038966339</v>
      </c>
      <c r="F7" s="38">
        <f t="shared" si="2"/>
        <v>-2.2430044558449507</v>
      </c>
      <c r="G7" s="3">
        <f t="shared" si="0"/>
        <v>-8</v>
      </c>
      <c r="H7" s="3">
        <v>0</v>
      </c>
      <c r="I7" s="3">
        <v>-2</v>
      </c>
      <c r="J7" s="3">
        <f t="shared" si="23"/>
        <v>-5</v>
      </c>
      <c r="K7" s="38">
        <f t="shared" si="3"/>
        <v>6.3645066837674271</v>
      </c>
      <c r="L7" s="38">
        <f t="shared" si="4"/>
        <v>0</v>
      </c>
      <c r="M7" s="37">
        <f t="shared" si="5"/>
        <v>6.3645066837674271</v>
      </c>
      <c r="N7" s="37">
        <f>5%*$M$21*SUM(G7:$G$14)+0.75%*$M$21*SUM(H7:$H$14)*(10-A7)</f>
        <v>-139.25</v>
      </c>
      <c r="O7" s="38">
        <f t="shared" si="24"/>
        <v>19.75</v>
      </c>
      <c r="P7" s="42"/>
      <c r="R7" s="61">
        <f>NPV($M$20,B8:$B$14)+NPV($M$20,G8:$G$14)+NPV($M$20,H8:$H$14)+NPV($M$20,I8:$I$14)+NPV($M$20,J8:$J$14)</f>
        <v>-265.73776213925709</v>
      </c>
      <c r="S7" s="62">
        <f>+NPV($M$20,G8:$G$14)*0.2+NPV($M$20,I8:$I$14)*0.2+NPV($M$20,J8:$J$14)*0.2</f>
        <v>-12.525127747176089</v>
      </c>
      <c r="T7" s="63">
        <f t="shared" si="1"/>
        <v>-278.26288988643319</v>
      </c>
      <c r="V7" s="61">
        <f t="shared" si="6"/>
        <v>-25.122881463942342</v>
      </c>
      <c r="W7" s="68">
        <f t="shared" si="7"/>
        <v>-1.2561440731971172</v>
      </c>
      <c r="X7" s="68">
        <f t="shared" si="8"/>
        <v>3.2973781921424323</v>
      </c>
      <c r="Y7" s="63">
        <f t="shared" si="9"/>
        <v>-23.081647344997027</v>
      </c>
      <c r="Z7" s="62"/>
      <c r="AA7" s="67">
        <f t="shared" si="10"/>
        <v>800</v>
      </c>
      <c r="AB7" s="70">
        <f>AA7/SUM(AA7:AA$14)</f>
        <v>0.125</v>
      </c>
      <c r="AD7" s="61"/>
      <c r="AE7" s="68"/>
      <c r="AF7" s="63"/>
      <c r="AH7" s="61">
        <f>NPV($M$20,$H7:$H$14)</f>
        <v>-676.83936202868688</v>
      </c>
      <c r="AI7" s="68">
        <f t="shared" si="11"/>
        <v>676.83936202868688</v>
      </c>
      <c r="AJ7" s="68">
        <f t="shared" si="12"/>
        <v>123.16063797131312</v>
      </c>
      <c r="AK7" s="69">
        <f t="shared" si="13"/>
        <v>800</v>
      </c>
      <c r="AM7" s="61">
        <f t="shared" si="14"/>
        <v>302.05379796261224</v>
      </c>
      <c r="AN7" s="68">
        <f t="shared" si="15"/>
        <v>15.102689898130613</v>
      </c>
      <c r="AO7" s="68">
        <f t="shared" si="16"/>
        <v>100</v>
      </c>
      <c r="AP7" s="68">
        <f t="shared" si="17"/>
        <v>-1.2316063797131311</v>
      </c>
      <c r="AQ7" s="68">
        <f t="shared" si="18"/>
        <v>-6.7683936202868686</v>
      </c>
      <c r="AR7" s="68">
        <f t="shared" si="19"/>
        <v>-2</v>
      </c>
      <c r="AS7" s="68">
        <f t="shared" si="20"/>
        <v>-5</v>
      </c>
      <c r="AT7" s="63">
        <f t="shared" si="21"/>
        <v>402.15648786074286</v>
      </c>
    </row>
    <row r="8" spans="1:63" x14ac:dyDescent="0.3">
      <c r="A8" s="21">
        <v>4</v>
      </c>
      <c r="B8" s="4">
        <f t="shared" si="25"/>
        <v>100</v>
      </c>
      <c r="C8" s="37">
        <f>NPV(5%,B9:$B$14)+NPV(5%,G9:$G$14)*1.2+NPV(5%,H9:$H$14)+NPV(5%,I9:$I$14)*1.2+NPV(5%,J9:$J$14)*1.2</f>
        <v>-374.17603438075486</v>
      </c>
      <c r="D8" s="38">
        <f t="shared" si="22"/>
        <v>-95.913144494321671</v>
      </c>
      <c r="E8" s="38">
        <f>-8%*SUM($D$4:D7)</f>
        <v>22.261031190914654</v>
      </c>
      <c r="F8" s="38">
        <f t="shared" si="2"/>
        <v>-3.3391546786371982</v>
      </c>
      <c r="G8" s="3">
        <f t="shared" si="0"/>
        <v>-8</v>
      </c>
      <c r="H8" s="3">
        <v>0</v>
      </c>
      <c r="I8" s="3">
        <v>-2</v>
      </c>
      <c r="J8" s="3">
        <f>-5%*B8</f>
        <v>-5</v>
      </c>
      <c r="K8" s="38">
        <f t="shared" si="3"/>
        <v>8.0087320179557864</v>
      </c>
      <c r="L8" s="38">
        <f t="shared" si="4"/>
        <v>0</v>
      </c>
      <c r="M8" s="37">
        <f t="shared" si="5"/>
        <v>8.0087320179557864</v>
      </c>
      <c r="N8" s="37">
        <f>5%*$M$21*SUM(G8:$G$14)+0.75%*$M$21*SUM(H8:$H$14)*(10-A8)</f>
        <v>-119.5</v>
      </c>
      <c r="O8" s="38">
        <f t="shared" si="24"/>
        <v>19.75</v>
      </c>
      <c r="P8" s="42"/>
      <c r="R8" s="61">
        <f>NPV($M$20,B9:$B$14)+NPV($M$20,G9:$G$14)+NPV($M$20,H9:$H$14)+NPV($M$20,I9:$I$14)+NPV($M$20,J9:$J$14)</f>
        <v>-364.02465024621995</v>
      </c>
      <c r="S8" s="62">
        <f>+NPV($M$20,G9:$G$14)*0.2+NPV($M$20,I9:$I$14)*0.2+NPV($M$20,J9:$J$14)*0.2</f>
        <v>-10.151384134534894</v>
      </c>
      <c r="T8" s="63">
        <f t="shared" si="1"/>
        <v>-374.17603438075486</v>
      </c>
      <c r="V8" s="61">
        <f t="shared" si="6"/>
        <v>-23.081647344997027</v>
      </c>
      <c r="W8" s="68">
        <f t="shared" si="7"/>
        <v>-1.1540823672498515</v>
      </c>
      <c r="X8" s="68">
        <f t="shared" si="8"/>
        <v>3.4622471017495542</v>
      </c>
      <c r="Y8" s="63">
        <f t="shared" si="9"/>
        <v>-20.773482610497325</v>
      </c>
      <c r="Z8" s="62"/>
      <c r="AA8" s="67">
        <f t="shared" si="10"/>
        <v>800</v>
      </c>
      <c r="AB8" s="70">
        <f>AA8/SUM(AA8:AA$14)</f>
        <v>0.14285714285714285</v>
      </c>
      <c r="AD8" s="61"/>
      <c r="AE8" s="68"/>
      <c r="AF8" s="63"/>
      <c r="AH8" s="61">
        <f>NPV($M$20,$H8:$H$14)</f>
        <v>-710.6813301301213</v>
      </c>
      <c r="AI8" s="68">
        <f t="shared" si="11"/>
        <v>710.6813301301213</v>
      </c>
      <c r="AJ8" s="68">
        <f t="shared" si="12"/>
        <v>89.318669869878704</v>
      </c>
      <c r="AK8" s="69">
        <f t="shared" si="13"/>
        <v>800</v>
      </c>
      <c r="AM8" s="61">
        <f t="shared" si="14"/>
        <v>402.15648786074286</v>
      </c>
      <c r="AN8" s="68">
        <f t="shared" si="15"/>
        <v>20.107824393037145</v>
      </c>
      <c r="AO8" s="68">
        <f t="shared" si="16"/>
        <v>100</v>
      </c>
      <c r="AP8" s="68">
        <f t="shared" si="17"/>
        <v>-0.89318669869878708</v>
      </c>
      <c r="AQ8" s="68">
        <f t="shared" si="18"/>
        <v>-7.1068133013012131</v>
      </c>
      <c r="AR8" s="68">
        <f t="shared" si="19"/>
        <v>-2</v>
      </c>
      <c r="AS8" s="68">
        <f t="shared" si="20"/>
        <v>-5</v>
      </c>
      <c r="AT8" s="63">
        <f t="shared" si="21"/>
        <v>507.26431225377996</v>
      </c>
    </row>
    <row r="9" spans="1:63" x14ac:dyDescent="0.3">
      <c r="A9" s="21">
        <v>5</v>
      </c>
      <c r="B9" s="4">
        <f t="shared" si="25"/>
        <v>100</v>
      </c>
      <c r="C9" s="37">
        <f>NPV(5%,B10:$B$14)+NPV(5%,G10:$G$14)*1.2+NPV(5%,H10:$H$14)+NPV(5%,I10:$I$14)*1.2+NPV(5%,J10:$J$14)*1.2</f>
        <v>-480.88483609979272</v>
      </c>
      <c r="D9" s="38">
        <f t="shared" si="22"/>
        <v>-106.70880171903787</v>
      </c>
      <c r="E9" s="38">
        <f>-8%*SUM($D$4:D8)</f>
        <v>29.934082750460391</v>
      </c>
      <c r="F9" s="38">
        <f t="shared" si="2"/>
        <v>-4.4901124125690588</v>
      </c>
      <c r="G9" s="3">
        <f t="shared" si="0"/>
        <v>-8</v>
      </c>
      <c r="H9" s="3">
        <v>0</v>
      </c>
      <c r="I9" s="3">
        <v>-2</v>
      </c>
      <c r="J9" s="3">
        <v>0</v>
      </c>
      <c r="K9" s="38">
        <f t="shared" si="3"/>
        <v>8.7351686188534678</v>
      </c>
      <c r="L9" s="38">
        <f t="shared" si="4"/>
        <v>0</v>
      </c>
      <c r="M9" s="37">
        <f t="shared" si="5"/>
        <v>8.7351686188534678</v>
      </c>
      <c r="N9" s="37">
        <f>5%*$M$21*SUM(G9:$G$14)+0.75%*$M$21*SUM(H9:$H$14)*(10-A9)</f>
        <v>-99.75</v>
      </c>
      <c r="O9" s="38">
        <f t="shared" si="24"/>
        <v>19.75</v>
      </c>
      <c r="P9" s="42"/>
      <c r="R9" s="61">
        <f>NPV($M$20,B10:$B$14)+NPV($M$20,G10:$G$14)+NPV($M$20,H10:$H$14)+NPV($M$20,I10:$I$14)+NPV($M$20,J10:$J$14)</f>
        <v>-472.22588275853104</v>
      </c>
      <c r="S9" s="62">
        <f>+NPV($M$20,G10:$G$14)*0.2+NPV($M$20,I10:$I$14)*0.2+NPV($M$20,J10:$J$14)*0.2</f>
        <v>-8.658953341261638</v>
      </c>
      <c r="T9" s="63">
        <f t="shared" si="1"/>
        <v>-480.88483609979266</v>
      </c>
      <c r="V9" s="61">
        <f t="shared" si="6"/>
        <v>-20.773482610497325</v>
      </c>
      <c r="W9" s="68">
        <f t="shared" si="7"/>
        <v>-1.0386741305248663</v>
      </c>
      <c r="X9" s="68">
        <f t="shared" si="8"/>
        <v>3.635359456837032</v>
      </c>
      <c r="Y9" s="63">
        <f t="shared" si="9"/>
        <v>-18.176797284185159</v>
      </c>
      <c r="Z9" s="62"/>
      <c r="AA9" s="67">
        <f t="shared" si="10"/>
        <v>800</v>
      </c>
      <c r="AB9" s="70">
        <f>AA9/SUM(AA9:AA$14)</f>
        <v>0.16666666666666666</v>
      </c>
      <c r="AD9" s="61"/>
      <c r="AE9" s="68"/>
      <c r="AF9" s="63"/>
      <c r="AH9" s="61">
        <f>NPV($M$20,$H9:$H$14)</f>
        <v>-746.21539663662736</v>
      </c>
      <c r="AI9" s="68">
        <f t="shared" si="11"/>
        <v>746.21539663662736</v>
      </c>
      <c r="AJ9" s="68">
        <f t="shared" si="12"/>
        <v>53.784603363372639</v>
      </c>
      <c r="AK9" s="69">
        <f t="shared" si="13"/>
        <v>800</v>
      </c>
      <c r="AM9" s="61">
        <f t="shared" si="14"/>
        <v>507.26431225377996</v>
      </c>
      <c r="AN9" s="68">
        <f t="shared" si="15"/>
        <v>25.363215612689</v>
      </c>
      <c r="AO9" s="68">
        <f t="shared" si="16"/>
        <v>100</v>
      </c>
      <c r="AP9" s="68">
        <f t="shared" si="17"/>
        <v>-0.53784603363372641</v>
      </c>
      <c r="AQ9" s="68">
        <f t="shared" si="18"/>
        <v>-7.4621539663662739</v>
      </c>
      <c r="AR9" s="68">
        <f t="shared" si="19"/>
        <v>-2</v>
      </c>
      <c r="AS9" s="68">
        <f t="shared" si="20"/>
        <v>0</v>
      </c>
      <c r="AT9" s="63">
        <f t="shared" si="21"/>
        <v>622.62752786646899</v>
      </c>
    </row>
    <row r="10" spans="1:63" x14ac:dyDescent="0.3">
      <c r="A10" s="21">
        <v>6</v>
      </c>
      <c r="B10" s="4">
        <f t="shared" si="25"/>
        <v>100</v>
      </c>
      <c r="C10" s="37">
        <f>NPV(5%,B11:$B$14)+NPV(5%,G11:$G$14)*1.2+NPV(5%,H11:$H$14)+NPV(5%,I11:$I$14)*1.2+NPV(5%,J11:$J$14)*1.2</f>
        <v>-592.92907790478239</v>
      </c>
      <c r="D10" s="38">
        <f t="shared" si="22"/>
        <v>-112.04424180498967</v>
      </c>
      <c r="E10" s="38">
        <f>-8%*SUM($D$4:D9)</f>
        <v>38.470786887983415</v>
      </c>
      <c r="F10" s="38">
        <f t="shared" si="2"/>
        <v>-5.7706180331975121</v>
      </c>
      <c r="G10" s="3">
        <f t="shared" si="0"/>
        <v>-8</v>
      </c>
      <c r="H10" s="3">
        <v>0</v>
      </c>
      <c r="I10" s="3">
        <v>-2</v>
      </c>
      <c r="J10" s="3">
        <v>0</v>
      </c>
      <c r="K10" s="38">
        <f t="shared" si="3"/>
        <v>10.655927049796237</v>
      </c>
      <c r="L10" s="38">
        <f t="shared" si="4"/>
        <v>0</v>
      </c>
      <c r="M10" s="37">
        <f t="shared" si="5"/>
        <v>10.655927049796237</v>
      </c>
      <c r="N10" s="37">
        <f>5%*$M$21*SUM(G10:$G$14)+0.75%*$M$21*SUM(H10:$H$14)*(10-A10)</f>
        <v>-80</v>
      </c>
      <c r="O10" s="38">
        <f t="shared" si="24"/>
        <v>19.75</v>
      </c>
      <c r="P10" s="42"/>
      <c r="R10" s="61">
        <f>NPV($M$20,B11:$B$14)+NPV($M$20,G11:$G$14)+NPV($M$20,H11:$H$14)+NPV($M$20,I11:$I$14)+NPV($M$20,J11:$J$14)</f>
        <v>-585.83717689645766</v>
      </c>
      <c r="S10" s="62">
        <f>+NPV($M$20,G11:$G$14)*0.2+NPV($M$20,I11:$I$14)*0.2+NPV($M$20,J11:$J$14)*0.2</f>
        <v>-7.0919010083247214</v>
      </c>
      <c r="T10" s="63">
        <f t="shared" si="1"/>
        <v>-592.92907790478239</v>
      </c>
      <c r="V10" s="61">
        <f t="shared" si="6"/>
        <v>-18.176797284185159</v>
      </c>
      <c r="W10" s="68">
        <f t="shared" si="7"/>
        <v>-0.908839864209258</v>
      </c>
      <c r="X10" s="68">
        <f t="shared" si="8"/>
        <v>3.8171274296788837</v>
      </c>
      <c r="Y10" s="63">
        <f t="shared" si="9"/>
        <v>-15.268509718715535</v>
      </c>
      <c r="Z10" s="62"/>
      <c r="AA10" s="67">
        <f t="shared" si="10"/>
        <v>800</v>
      </c>
      <c r="AB10" s="70">
        <f>AA10/SUM(AA10:AA$14)</f>
        <v>0.2</v>
      </c>
      <c r="AD10" s="61"/>
      <c r="AE10" s="68"/>
      <c r="AF10" s="63"/>
      <c r="AH10" s="61">
        <f>NPV($M$20,$H10:$H$14)</f>
        <v>-783.52616646845888</v>
      </c>
      <c r="AI10" s="68">
        <f t="shared" si="11"/>
        <v>783.52616646845888</v>
      </c>
      <c r="AJ10" s="68">
        <f t="shared" si="12"/>
        <v>16.473833531541118</v>
      </c>
      <c r="AK10" s="69">
        <f t="shared" si="13"/>
        <v>800</v>
      </c>
      <c r="AM10" s="61">
        <f t="shared" si="14"/>
        <v>622.62752786646899</v>
      </c>
      <c r="AN10" s="68">
        <f t="shared" si="15"/>
        <v>31.13137639332345</v>
      </c>
      <c r="AO10" s="68">
        <f t="shared" si="16"/>
        <v>100</v>
      </c>
      <c r="AP10" s="68">
        <f t="shared" si="17"/>
        <v>-0.16473833531541118</v>
      </c>
      <c r="AQ10" s="68">
        <f t="shared" si="18"/>
        <v>-7.8352616646845892</v>
      </c>
      <c r="AR10" s="68">
        <f t="shared" si="19"/>
        <v>-2</v>
      </c>
      <c r="AS10" s="68">
        <f t="shared" si="20"/>
        <v>0</v>
      </c>
      <c r="AT10" s="63">
        <f t="shared" si="21"/>
        <v>743.75890425979242</v>
      </c>
    </row>
    <row r="11" spans="1:63" x14ac:dyDescent="0.3">
      <c r="A11" s="21">
        <v>7</v>
      </c>
      <c r="B11" s="4">
        <f t="shared" si="25"/>
        <v>100</v>
      </c>
      <c r="C11" s="37">
        <f>NPV(5%,B12:$B$14)+NPV(5%,G12:$G$14)*1.2+NPV(5%,H12:$H$14)+NPV(5%,I12:$I$14)*1.2+NPV(5%,J12:$J$14)*1.2</f>
        <v>-710.57553180002162</v>
      </c>
      <c r="D11" s="38">
        <f t="shared" si="22"/>
        <v>-117.64645389523923</v>
      </c>
      <c r="E11" s="38">
        <f>-8%*SUM($D$4:D10)</f>
        <v>47.434326232382595</v>
      </c>
      <c r="F11" s="38">
        <f t="shared" si="2"/>
        <v>-7.1151489348573893</v>
      </c>
      <c r="G11" s="3">
        <f t="shared" si="0"/>
        <v>-8</v>
      </c>
      <c r="H11" s="3">
        <v>0</v>
      </c>
      <c r="I11" s="3">
        <v>-2</v>
      </c>
      <c r="J11" s="3">
        <v>0</v>
      </c>
      <c r="K11" s="38">
        <f t="shared" si="3"/>
        <v>12.672723402285975</v>
      </c>
      <c r="L11" s="38">
        <f t="shared" si="4"/>
        <v>0</v>
      </c>
      <c r="M11" s="37">
        <f t="shared" si="5"/>
        <v>12.672723402285975</v>
      </c>
      <c r="N11" s="37">
        <f>5%*$M$21*SUM(G11:$G$14)+0.75%*$M$21*SUM(H11:$H$14)*(10-A11)</f>
        <v>-60.25</v>
      </c>
      <c r="O11" s="38">
        <f t="shared" si="24"/>
        <v>19.75</v>
      </c>
      <c r="P11" s="42"/>
      <c r="R11" s="61">
        <f>NPV($M$20,B12:$B$14)+NPV($M$20,G12:$G$14)+NPV($M$20,H12:$H$14)+NPV($M$20,I12:$I$14)+NPV($M$20,J12:$J$14)</f>
        <v>-705.12903574128063</v>
      </c>
      <c r="S11" s="62">
        <f>+NPV($M$20,G12:$G$14)*0.2+NPV($M$20,I12:$I$14)*0.2+NPV($M$20,J12:$J$14)*0.2</f>
        <v>-5.4464960587409568</v>
      </c>
      <c r="T11" s="63">
        <f t="shared" si="1"/>
        <v>-710.57553180002162</v>
      </c>
      <c r="V11" s="61">
        <f t="shared" si="6"/>
        <v>-15.268509718715535</v>
      </c>
      <c r="W11" s="68">
        <f t="shared" si="7"/>
        <v>-0.76342548593577675</v>
      </c>
      <c r="X11" s="68">
        <f t="shared" si="8"/>
        <v>4.0079838011628279</v>
      </c>
      <c r="Y11" s="63">
        <f t="shared" si="9"/>
        <v>-12.023951403488484</v>
      </c>
      <c r="Z11" s="62"/>
      <c r="AA11" s="67">
        <f t="shared" si="10"/>
        <v>800</v>
      </c>
      <c r="AB11" s="70">
        <f>AA11/SUM(AA11:AA$14)</f>
        <v>0.25</v>
      </c>
      <c r="AD11" s="61"/>
      <c r="AE11" s="68"/>
      <c r="AF11" s="63"/>
      <c r="AH11" s="61">
        <f>NPV($M$20,$H11:$H$14)</f>
        <v>-822.70247479188185</v>
      </c>
      <c r="AI11" s="68">
        <f t="shared" si="11"/>
        <v>822.70247479188185</v>
      </c>
      <c r="AJ11" s="68">
        <f t="shared" si="12"/>
        <v>0</v>
      </c>
      <c r="AK11" s="69">
        <f t="shared" si="13"/>
        <v>800</v>
      </c>
      <c r="AM11" s="61">
        <f t="shared" si="14"/>
        <v>743.75890425979242</v>
      </c>
      <c r="AN11" s="68">
        <f t="shared" si="15"/>
        <v>37.187945212989625</v>
      </c>
      <c r="AO11" s="68">
        <f t="shared" si="16"/>
        <v>100</v>
      </c>
      <c r="AP11" s="68">
        <f t="shared" si="17"/>
        <v>0</v>
      </c>
      <c r="AQ11" s="68">
        <f t="shared" si="18"/>
        <v>-8</v>
      </c>
      <c r="AR11" s="68">
        <f t="shared" si="19"/>
        <v>-2</v>
      </c>
      <c r="AS11" s="68">
        <f t="shared" si="20"/>
        <v>0</v>
      </c>
      <c r="AT11" s="63">
        <f t="shared" si="21"/>
        <v>870.94684947278199</v>
      </c>
    </row>
    <row r="12" spans="1:63" x14ac:dyDescent="0.3">
      <c r="A12" s="21">
        <v>8</v>
      </c>
      <c r="B12" s="4">
        <f t="shared" si="25"/>
        <v>100</v>
      </c>
      <c r="C12" s="37">
        <f>NPV(5%,B13:$B$14)+NPV(5%,G13:$G$14)*1.2+NPV(5%,H13:$H$14)+NPV(5%,I13:$I$14)*1.2+NPV(5%,J13:$J$14)*1.2</f>
        <v>-834.10430839002254</v>
      </c>
      <c r="D12" s="38">
        <f t="shared" si="22"/>
        <v>-123.52877659000092</v>
      </c>
      <c r="E12" s="38">
        <f>-8%*SUM($D$4:D11)</f>
        <v>56.846042544001733</v>
      </c>
      <c r="F12" s="38">
        <f t="shared" si="2"/>
        <v>-8.5269063816002593</v>
      </c>
      <c r="G12" s="3">
        <f t="shared" si="0"/>
        <v>-8</v>
      </c>
      <c r="H12" s="3">
        <v>0</v>
      </c>
      <c r="I12" s="3">
        <v>-2</v>
      </c>
      <c r="J12" s="3">
        <v>0</v>
      </c>
      <c r="K12" s="38">
        <f t="shared" si="3"/>
        <v>14.790359572400558</v>
      </c>
      <c r="L12" s="38">
        <f t="shared" si="4"/>
        <v>0</v>
      </c>
      <c r="M12" s="37">
        <f t="shared" si="5"/>
        <v>14.790359572400558</v>
      </c>
      <c r="N12" s="37">
        <f>5%*$M$21*SUM(G12:$G$14)+0.75%*$M$21*SUM(H12:$H$14)*(10-A12)</f>
        <v>-40.5</v>
      </c>
      <c r="O12" s="38">
        <f t="shared" si="24"/>
        <v>19.75</v>
      </c>
      <c r="P12" s="42"/>
      <c r="R12" s="61">
        <f>NPV($M$20,B13:$B$14)+NPV($M$20,G13:$G$14)+NPV($M$20,H13:$H$14)+NPV($M$20,I13:$I$14)+NPV($M$20,J13:$J$14)</f>
        <v>-830.38548752834447</v>
      </c>
      <c r="S12" s="62">
        <f>+NPV($M$20,G13:$G$14)*0.2+NPV($M$20,I13:$I$14)*0.2+NPV($M$20,J13:$J$14)*0.2</f>
        <v>-3.7188208616780045</v>
      </c>
      <c r="T12" s="63">
        <f t="shared" si="1"/>
        <v>-834.10430839002242</v>
      </c>
      <c r="V12" s="61">
        <f t="shared" si="6"/>
        <v>-12.023951403488484</v>
      </c>
      <c r="W12" s="68">
        <f t="shared" si="7"/>
        <v>-0.60119757017442421</v>
      </c>
      <c r="X12" s="68">
        <f t="shared" si="8"/>
        <v>4.2083829912209687</v>
      </c>
      <c r="Y12" s="63">
        <f t="shared" si="9"/>
        <v>-8.4167659824419392</v>
      </c>
      <c r="Z12" s="62"/>
      <c r="AA12" s="67">
        <f t="shared" si="10"/>
        <v>800</v>
      </c>
      <c r="AB12" s="70">
        <f>AA12/SUM(AA12:AA$14)</f>
        <v>0.33333333333333331</v>
      </c>
      <c r="AD12" s="61"/>
      <c r="AE12" s="68"/>
      <c r="AF12" s="63"/>
      <c r="AH12" s="61">
        <f>NPV($M$20,$H12:$H$14)</f>
        <v>-863.83759853147603</v>
      </c>
      <c r="AI12" s="68">
        <f t="shared" si="11"/>
        <v>863.83759853147603</v>
      </c>
      <c r="AJ12" s="68">
        <f t="shared" si="12"/>
        <v>0</v>
      </c>
      <c r="AK12" s="69">
        <f t="shared" si="13"/>
        <v>800</v>
      </c>
      <c r="AM12" s="61">
        <f t="shared" si="14"/>
        <v>870.94684947278199</v>
      </c>
      <c r="AN12" s="68">
        <f t="shared" si="15"/>
        <v>43.547342473639105</v>
      </c>
      <c r="AO12" s="68">
        <f t="shared" si="16"/>
        <v>100</v>
      </c>
      <c r="AP12" s="68">
        <f t="shared" si="17"/>
        <v>0</v>
      </c>
      <c r="AQ12" s="68">
        <f t="shared" si="18"/>
        <v>-8</v>
      </c>
      <c r="AR12" s="68">
        <f t="shared" si="19"/>
        <v>-2</v>
      </c>
      <c r="AS12" s="68">
        <f t="shared" si="20"/>
        <v>0</v>
      </c>
      <c r="AT12" s="63">
        <f t="shared" si="21"/>
        <v>1004.4941919464211</v>
      </c>
    </row>
    <row r="13" spans="1:63" x14ac:dyDescent="0.3">
      <c r="A13" s="21">
        <v>9</v>
      </c>
      <c r="B13" s="4">
        <f t="shared" si="25"/>
        <v>100</v>
      </c>
      <c r="C13" s="37">
        <f>NPV(5%,B14:$B$14)+NPV(5%,G14:$G$14)*1.2+NPV(5%,H14:$H$14)+NPV(5%,I14:$I$14)*1.2+NPV(5%,J14:$J$14)*1.2</f>
        <v>-963.80952380952374</v>
      </c>
      <c r="D13" s="38">
        <f t="shared" si="22"/>
        <v>-129.7052154195012</v>
      </c>
      <c r="E13" s="38">
        <f>-8%*SUM($D$4:D12)</f>
        <v>66.72834467120181</v>
      </c>
      <c r="F13" s="38">
        <f t="shared" si="2"/>
        <v>-10.009251700680272</v>
      </c>
      <c r="G13" s="3">
        <f t="shared" si="0"/>
        <v>-8</v>
      </c>
      <c r="H13" s="3">
        <v>0</v>
      </c>
      <c r="I13" s="3">
        <v>-2</v>
      </c>
      <c r="J13" s="3">
        <v>0</v>
      </c>
      <c r="K13" s="38">
        <f t="shared" si="3"/>
        <v>17.013877551020336</v>
      </c>
      <c r="L13" s="38">
        <f t="shared" si="4"/>
        <v>0</v>
      </c>
      <c r="M13" s="37">
        <f t="shared" si="5"/>
        <v>17.013877551020336</v>
      </c>
      <c r="N13" s="37">
        <f>5%*$M$21*SUM(G13:$G$14)+0.75%*$M$21*SUM(H13:$H$14)*(10-A13)</f>
        <v>-20.75</v>
      </c>
      <c r="O13" s="38">
        <f t="shared" si="24"/>
        <v>19.75</v>
      </c>
      <c r="P13" s="42"/>
      <c r="R13" s="61">
        <f>NPV($M$20,B14:$B$14)+NPV($M$20,G14:$G$14)+NPV($M$20,H14:$H$14)+NPV($M$20,I14:$I$14)+NPV($M$20,J14:$J$14)</f>
        <v>-961.90476190476181</v>
      </c>
      <c r="S13" s="62">
        <f>+NPV($M$20,G14:$G$14)*0.2+NPV($M$20,I14:$I$14)*0.2+NPV($M$20,J14:$J$14)*0.2</f>
        <v>-1.9047619047619047</v>
      </c>
      <c r="T13" s="63">
        <f t="shared" si="1"/>
        <v>-963.80952380952374</v>
      </c>
      <c r="V13" s="61">
        <f t="shared" si="6"/>
        <v>-8.4167659824419392</v>
      </c>
      <c r="W13" s="68">
        <f t="shared" si="7"/>
        <v>-0.42083829912209697</v>
      </c>
      <c r="X13" s="68">
        <f t="shared" si="8"/>
        <v>4.4188021407820184</v>
      </c>
      <c r="Y13" s="63">
        <f t="shared" si="9"/>
        <v>-4.4188021407820184</v>
      </c>
      <c r="Z13" s="62"/>
      <c r="AA13" s="67">
        <f t="shared" si="10"/>
        <v>800</v>
      </c>
      <c r="AB13" s="70">
        <f>AA13/SUM(AA13:AA$14)</f>
        <v>0.5</v>
      </c>
      <c r="AD13" s="61"/>
      <c r="AE13" s="68"/>
      <c r="AF13" s="63"/>
      <c r="AH13" s="61">
        <f>NPV($M$20,$H13:$H$14)</f>
        <v>-907.02947845804977</v>
      </c>
      <c r="AI13" s="68">
        <f t="shared" si="11"/>
        <v>907.02947845804977</v>
      </c>
      <c r="AJ13" s="68">
        <f t="shared" si="12"/>
        <v>0</v>
      </c>
      <c r="AK13" s="69">
        <f t="shared" si="13"/>
        <v>800</v>
      </c>
      <c r="AM13" s="61">
        <f t="shared" si="14"/>
        <v>1004.4941919464211</v>
      </c>
      <c r="AN13" s="68">
        <f t="shared" si="15"/>
        <v>50.224709597321059</v>
      </c>
      <c r="AO13" s="68">
        <f t="shared" si="16"/>
        <v>100</v>
      </c>
      <c r="AP13" s="68">
        <f t="shared" si="17"/>
        <v>0</v>
      </c>
      <c r="AQ13" s="68">
        <f t="shared" si="18"/>
        <v>-8</v>
      </c>
      <c r="AR13" s="68">
        <f t="shared" si="19"/>
        <v>-2</v>
      </c>
      <c r="AS13" s="68">
        <f t="shared" si="20"/>
        <v>0</v>
      </c>
      <c r="AT13" s="63">
        <f t="shared" si="21"/>
        <v>1144.718901543742</v>
      </c>
    </row>
    <row r="14" spans="1:63" ht="15" thickBot="1" x14ac:dyDescent="0.35">
      <c r="A14" s="22">
        <v>10</v>
      </c>
      <c r="B14" s="17"/>
      <c r="C14" s="39">
        <v>0</v>
      </c>
      <c r="D14" s="40">
        <f>-SUM(D4:D13)</f>
        <v>963.80952380952374</v>
      </c>
      <c r="E14" s="40">
        <f>-8%*SUM($D$4:D13)</f>
        <v>77.104761904761901</v>
      </c>
      <c r="F14" s="40">
        <f t="shared" si="2"/>
        <v>-11.565714285714284</v>
      </c>
      <c r="G14" s="16">
        <f t="shared" si="0"/>
        <v>-8</v>
      </c>
      <c r="H14" s="16">
        <f>-M25</f>
        <v>-1000</v>
      </c>
      <c r="I14" s="16">
        <v>-2</v>
      </c>
      <c r="J14" s="16">
        <f t="shared" si="23"/>
        <v>0</v>
      </c>
      <c r="K14" s="40">
        <f t="shared" si="3"/>
        <v>19.348571428571404</v>
      </c>
      <c r="L14" s="40">
        <f t="shared" si="4"/>
        <v>0</v>
      </c>
      <c r="M14" s="39">
        <f t="shared" si="5"/>
        <v>19.348571428571404</v>
      </c>
      <c r="N14" s="39">
        <f>5%*$M$21*SUM(G14:$G$14)+0.75%*$M$21*SUM(H14:$H$14)*(10-A14)</f>
        <v>-1</v>
      </c>
      <c r="O14" s="40">
        <f>-SUM(O4:O13)</f>
        <v>20.75</v>
      </c>
      <c r="P14" s="43"/>
      <c r="R14" s="64">
        <f>NPV($M$20,B$14:$B15)+NPV($M$20,G$14:$G15)+NPV($M$20,H$14:$H15)+NPV($M$20,I$14:$I15)+NPV($M$20,J$14:$J15)</f>
        <v>-961.90476190476181</v>
      </c>
      <c r="S14" s="65">
        <f>+NPV($M$20,G$14:$G15)*0.2+NPV($M$20,I$14:$I15)*0.2+NPV($M$20,J$14:$J15)*0.2</f>
        <v>-1.9047619047619047</v>
      </c>
      <c r="T14" s="66">
        <f t="shared" si="1"/>
        <v>-963.80952380952374</v>
      </c>
      <c r="V14" s="64">
        <f t="shared" si="6"/>
        <v>-4.4188021407820184</v>
      </c>
      <c r="W14" s="71">
        <f t="shared" si="7"/>
        <v>-0.22094010703910094</v>
      </c>
      <c r="X14" s="71">
        <f t="shared" si="8"/>
        <v>4.6397422478211192</v>
      </c>
      <c r="Y14" s="66">
        <f t="shared" si="9"/>
        <v>0</v>
      </c>
      <c r="Z14" s="65"/>
      <c r="AA14" s="75">
        <f t="shared" si="10"/>
        <v>800</v>
      </c>
      <c r="AB14" s="72">
        <f>AA14/SUM(AA14:AA$14)</f>
        <v>1</v>
      </c>
      <c r="AD14" s="64"/>
      <c r="AE14" s="71"/>
      <c r="AF14" s="66"/>
      <c r="AH14" s="61">
        <f>NPV($M$20,$H14:$H$14)</f>
        <v>-952.38095238095229</v>
      </c>
      <c r="AI14" s="68">
        <f t="shared" si="11"/>
        <v>952.38095238095229</v>
      </c>
      <c r="AJ14" s="68">
        <f t="shared" si="12"/>
        <v>0</v>
      </c>
      <c r="AK14" s="69">
        <f t="shared" si="13"/>
        <v>800</v>
      </c>
      <c r="AM14" s="61">
        <f t="shared" si="14"/>
        <v>1144.718901543742</v>
      </c>
      <c r="AN14" s="68">
        <f t="shared" si="15"/>
        <v>57.235945077187104</v>
      </c>
      <c r="AO14" s="68">
        <f t="shared" si="16"/>
        <v>0</v>
      </c>
      <c r="AP14" s="68">
        <f t="shared" si="17"/>
        <v>0</v>
      </c>
      <c r="AQ14" s="68">
        <f t="shared" si="18"/>
        <v>-8</v>
      </c>
      <c r="AR14" s="68">
        <f t="shared" si="19"/>
        <v>-2</v>
      </c>
      <c r="AS14" s="68">
        <f t="shared" si="20"/>
        <v>0</v>
      </c>
      <c r="AT14" s="63">
        <f t="shared" si="21"/>
        <v>1191.9548466209292</v>
      </c>
    </row>
    <row r="15" spans="1:63" ht="15" thickBot="1" x14ac:dyDescent="0.35">
      <c r="D15" s="5" t="s">
        <v>15</v>
      </c>
      <c r="O15" s="25"/>
      <c r="R15" t="s">
        <v>32</v>
      </c>
    </row>
    <row r="16" spans="1:63" ht="15" thickBot="1" x14ac:dyDescent="0.35">
      <c r="D16" s="6"/>
      <c r="K16" s="148" t="s">
        <v>12</v>
      </c>
      <c r="L16" s="149"/>
      <c r="M16" s="11">
        <f>NPV($M$20,M4:M14)</f>
        <v>100.65289221118196</v>
      </c>
      <c r="N16" s="26"/>
      <c r="O16" s="29">
        <f>NPV($M$20,O4:O14)</f>
        <v>-43.220782757199281</v>
      </c>
      <c r="P16" s="12">
        <f>NPV($M$20,P4:P14)</f>
        <v>0</v>
      </c>
      <c r="R16" s="1"/>
    </row>
    <row r="17" spans="4:15" ht="15" thickBot="1" x14ac:dyDescent="0.35">
      <c r="D17" s="6"/>
      <c r="N17" s="27"/>
      <c r="O17" s="28"/>
    </row>
    <row r="18" spans="4:15" ht="15" thickBot="1" x14ac:dyDescent="0.35">
      <c r="D18" s="6"/>
      <c r="K18" s="53" t="s">
        <v>26</v>
      </c>
      <c r="L18" s="54"/>
      <c r="M18" s="55">
        <v>0.05</v>
      </c>
      <c r="N18" s="23" t="s">
        <v>29</v>
      </c>
    </row>
    <row r="19" spans="4:15" ht="15" thickBot="1" x14ac:dyDescent="0.35">
      <c r="G19" s="147" t="s">
        <v>22</v>
      </c>
      <c r="H19" s="147"/>
      <c r="I19" s="147"/>
      <c r="K19" s="53" t="s">
        <v>27</v>
      </c>
      <c r="L19" s="54"/>
      <c r="M19" s="56">
        <v>0</v>
      </c>
      <c r="N19" s="23"/>
    </row>
    <row r="20" spans="4:15" ht="15" thickBot="1" x14ac:dyDescent="0.35">
      <c r="G20" s="31">
        <v>1</v>
      </c>
      <c r="H20" s="31">
        <v>2</v>
      </c>
      <c r="I20" s="31">
        <v>3</v>
      </c>
      <c r="K20" s="53" t="s">
        <v>13</v>
      </c>
      <c r="L20" s="54"/>
      <c r="M20" s="55">
        <f>M18+M19</f>
        <v>0.05</v>
      </c>
      <c r="N20" s="24"/>
    </row>
    <row r="21" spans="4:15" ht="15" thickBot="1" x14ac:dyDescent="0.35">
      <c r="F21" s="57" t="s">
        <v>17</v>
      </c>
      <c r="G21" s="2">
        <v>7000</v>
      </c>
      <c r="H21" s="2">
        <v>4000</v>
      </c>
      <c r="I21" s="2">
        <v>800</v>
      </c>
      <c r="K21" s="50" t="s">
        <v>14</v>
      </c>
      <c r="L21" s="51"/>
      <c r="M21" s="9">
        <v>2.5</v>
      </c>
    </row>
    <row r="22" spans="4:15" ht="15" thickBot="1" x14ac:dyDescent="0.35">
      <c r="F22" s="57" t="s">
        <v>18</v>
      </c>
      <c r="G22" s="2">
        <v>0</v>
      </c>
      <c r="H22" s="2">
        <v>500</v>
      </c>
      <c r="I22" s="2">
        <v>1000</v>
      </c>
      <c r="K22" s="50" t="s">
        <v>16</v>
      </c>
      <c r="L22" s="51"/>
      <c r="M22" s="10">
        <v>100</v>
      </c>
    </row>
    <row r="23" spans="4:15" ht="15" thickBot="1" x14ac:dyDescent="0.35">
      <c r="K23" s="50" t="s">
        <v>22</v>
      </c>
      <c r="L23" s="51"/>
      <c r="M23" s="10">
        <v>3</v>
      </c>
    </row>
    <row r="24" spans="4:15" ht="15" thickBot="1" x14ac:dyDescent="0.35">
      <c r="K24" s="8" t="s">
        <v>17</v>
      </c>
      <c r="L24" s="52"/>
      <c r="M24" s="30">
        <f>HLOOKUP(M23,$G$20:$I$22,2,0)</f>
        <v>800</v>
      </c>
    </row>
    <row r="25" spans="4:15" ht="15" thickBot="1" x14ac:dyDescent="0.35">
      <c r="K25" s="8" t="s">
        <v>18</v>
      </c>
      <c r="L25" s="52"/>
      <c r="M25" s="30">
        <f>HLOOKUP(M23,$G$20:$I$22,3,0)</f>
        <v>1000</v>
      </c>
    </row>
  </sheetData>
  <mergeCells count="2">
    <mergeCell ref="K16:L16"/>
    <mergeCell ref="G19:I19"/>
  </mergeCells>
  <pageMargins left="0.7" right="0.7" top="0.75" bottom="0.75" header="0.3" footer="0.3"/>
  <pageSetup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Y32"/>
  <sheetViews>
    <sheetView showGridLines="0" tabSelected="1" zoomScale="90" zoomScaleNormal="90" workbookViewId="0">
      <selection activeCell="A21" sqref="A21"/>
    </sheetView>
  </sheetViews>
  <sheetFormatPr defaultRowHeight="14.4" x14ac:dyDescent="0.3"/>
  <cols>
    <col min="1" max="1" width="3.109375" bestFit="1" customWidth="1"/>
    <col min="2" max="2" width="10.33203125" bestFit="1" customWidth="1"/>
    <col min="3" max="3" width="10.33203125" customWidth="1"/>
    <col min="4" max="4" width="9.5546875" customWidth="1"/>
    <col min="5" max="5" width="11" customWidth="1"/>
    <col min="6" max="6" width="10.88671875" customWidth="1"/>
    <col min="7" max="7" width="9.33203125" bestFit="1" customWidth="1"/>
    <col min="8" max="8" width="10.44140625" customWidth="1"/>
    <col min="9" max="9" width="9.44140625" customWidth="1"/>
    <col min="10" max="10" width="11.5546875" customWidth="1"/>
    <col min="11" max="11" width="9.44140625" bestFit="1" customWidth="1"/>
    <col min="12" max="12" width="7.88671875" bestFit="1" customWidth="1"/>
    <col min="13" max="13" width="8.88671875" bestFit="1" customWidth="1"/>
    <col min="14" max="14" width="9" customWidth="1"/>
    <col min="16" max="16" width="12.44140625" customWidth="1"/>
    <col min="17" max="17" width="4.109375" customWidth="1"/>
    <col min="18" max="18" width="4.109375" style="145" customWidth="1"/>
    <col min="19" max="19" width="4.109375" customWidth="1"/>
    <col min="20" max="22" width="11.109375" customWidth="1"/>
    <col min="23" max="23" width="3.21875" customWidth="1"/>
    <col min="26" max="26" width="10.33203125" customWidth="1"/>
    <col min="28" max="28" width="3.88671875" customWidth="1"/>
    <col min="29" max="29" width="9.77734375" customWidth="1"/>
    <col min="30" max="30" width="12.33203125" customWidth="1"/>
    <col min="31" max="31" width="3.44140625" customWidth="1"/>
    <col min="32" max="32" width="11" customWidth="1"/>
    <col min="33" max="34" width="12.109375" customWidth="1"/>
    <col min="35" max="35" width="11.21875" customWidth="1"/>
    <col min="36" max="36" width="2.88671875" style="73" customWidth="1"/>
    <col min="37" max="37" width="12.88671875" customWidth="1"/>
    <col min="38" max="38" width="13.21875" customWidth="1"/>
    <col min="39" max="39" width="11.44140625" customWidth="1"/>
    <col min="41" max="41" width="3.44140625" customWidth="1"/>
    <col min="42" max="42" width="9.5546875" bestFit="1" customWidth="1"/>
    <col min="44" max="44" width="9.44140625" bestFit="1" customWidth="1"/>
    <col min="45" max="49" width="11.21875" customWidth="1"/>
    <col min="50" max="50" width="9.5546875" bestFit="1" customWidth="1"/>
    <col min="52" max="59" width="9.77734375" customWidth="1"/>
    <col min="60" max="60" width="3.88671875" customWidth="1"/>
    <col min="61" max="63" width="11.6640625" customWidth="1"/>
    <col min="64" max="64" width="3.44140625" customWidth="1"/>
    <col min="65" max="67" width="10.88671875" customWidth="1"/>
    <col min="72" max="72" width="3.33203125" customWidth="1"/>
    <col min="74" max="74" width="11" customWidth="1"/>
    <col min="76" max="76" width="9.77734375" customWidth="1"/>
  </cols>
  <sheetData>
    <row r="1" spans="1:77" x14ac:dyDescent="0.3">
      <c r="A1" s="80" t="s">
        <v>75</v>
      </c>
      <c r="R1" s="150" t="s">
        <v>96</v>
      </c>
      <c r="T1" s="79" t="s">
        <v>93</v>
      </c>
    </row>
    <row r="2" spans="1:77" x14ac:dyDescent="0.3">
      <c r="R2" s="150" t="s">
        <v>96</v>
      </c>
    </row>
    <row r="3" spans="1:77" ht="15" thickBot="1" x14ac:dyDescent="0.35">
      <c r="A3" s="131"/>
      <c r="B3" s="131" t="s">
        <v>92</v>
      </c>
      <c r="C3" s="131"/>
      <c r="D3" s="131"/>
      <c r="E3" s="131"/>
      <c r="F3" s="131"/>
      <c r="G3" s="131"/>
      <c r="H3" s="132"/>
      <c r="I3" s="131"/>
      <c r="J3" s="131"/>
      <c r="K3" s="131"/>
      <c r="L3" s="131"/>
      <c r="M3" s="131"/>
      <c r="N3" s="131"/>
      <c r="O3" s="131"/>
      <c r="P3" s="131"/>
      <c r="R3" s="150" t="s">
        <v>96</v>
      </c>
      <c r="AK3" t="s">
        <v>87</v>
      </c>
      <c r="AP3" t="s">
        <v>78</v>
      </c>
      <c r="AZ3" t="s">
        <v>91</v>
      </c>
      <c r="BF3" t="s">
        <v>79</v>
      </c>
      <c r="BQ3" t="s">
        <v>57</v>
      </c>
    </row>
    <row r="4" spans="1:77" ht="43.8" thickBot="1" x14ac:dyDescent="0.35">
      <c r="A4" s="133" t="s">
        <v>9</v>
      </c>
      <c r="B4" s="134" t="s">
        <v>0</v>
      </c>
      <c r="C4" s="35" t="s">
        <v>23</v>
      </c>
      <c r="D4" s="36" t="s">
        <v>1</v>
      </c>
      <c r="E4" s="36" t="s">
        <v>2</v>
      </c>
      <c r="F4" s="36" t="s">
        <v>5</v>
      </c>
      <c r="G4" s="141" t="s">
        <v>19</v>
      </c>
      <c r="H4" s="141" t="s">
        <v>20</v>
      </c>
      <c r="I4" s="141" t="s">
        <v>3</v>
      </c>
      <c r="J4" s="141" t="s">
        <v>4</v>
      </c>
      <c r="K4" s="36" t="s">
        <v>6</v>
      </c>
      <c r="L4" s="36" t="s">
        <v>7</v>
      </c>
      <c r="M4" s="36" t="s">
        <v>8</v>
      </c>
      <c r="N4" s="36" t="s">
        <v>21</v>
      </c>
      <c r="O4" s="36" t="s">
        <v>11</v>
      </c>
      <c r="P4" s="41" t="s">
        <v>10</v>
      </c>
      <c r="R4" s="150" t="s">
        <v>96</v>
      </c>
      <c r="T4" s="58" t="s">
        <v>24</v>
      </c>
      <c r="U4" s="59" t="s">
        <v>94</v>
      </c>
      <c r="V4" s="60" t="s">
        <v>95</v>
      </c>
      <c r="X4" s="58" t="s">
        <v>31</v>
      </c>
      <c r="Y4" s="59" t="s">
        <v>33</v>
      </c>
      <c r="Z4" s="59" t="s">
        <v>77</v>
      </c>
      <c r="AA4" s="60" t="s">
        <v>34</v>
      </c>
      <c r="AB4" s="25"/>
      <c r="AC4" s="58" t="s">
        <v>35</v>
      </c>
      <c r="AD4" s="60" t="s">
        <v>36</v>
      </c>
      <c r="AF4" s="58" t="s">
        <v>53</v>
      </c>
      <c r="AG4" s="59" t="s">
        <v>49</v>
      </c>
      <c r="AH4" s="59" t="s">
        <v>83</v>
      </c>
      <c r="AI4" s="60" t="s">
        <v>54</v>
      </c>
      <c r="AK4" s="58" t="s">
        <v>45</v>
      </c>
      <c r="AL4" s="59" t="s">
        <v>89</v>
      </c>
      <c r="AM4" s="59" t="s">
        <v>88</v>
      </c>
      <c r="AN4" s="60" t="s">
        <v>90</v>
      </c>
      <c r="AP4" s="58" t="s">
        <v>39</v>
      </c>
      <c r="AQ4" s="59" t="s">
        <v>33</v>
      </c>
      <c r="AR4" s="59" t="s">
        <v>66</v>
      </c>
      <c r="AS4" s="59" t="s">
        <v>41</v>
      </c>
      <c r="AT4" s="59" t="s">
        <v>42</v>
      </c>
      <c r="AU4" s="59" t="s">
        <v>64</v>
      </c>
      <c r="AV4" s="59" t="s">
        <v>67</v>
      </c>
      <c r="AW4" s="59" t="s">
        <v>73</v>
      </c>
      <c r="AX4" s="60" t="s">
        <v>40</v>
      </c>
      <c r="AZ4" s="58" t="s">
        <v>72</v>
      </c>
      <c r="BA4" s="59" t="s">
        <v>69</v>
      </c>
      <c r="BB4" s="59" t="s">
        <v>56</v>
      </c>
      <c r="BC4" s="59" t="s">
        <v>43</v>
      </c>
      <c r="BD4" s="59" t="s">
        <v>47</v>
      </c>
      <c r="BE4" s="82" t="s">
        <v>68</v>
      </c>
      <c r="BF4" s="59" t="s">
        <v>80</v>
      </c>
      <c r="BG4" s="77" t="s">
        <v>48</v>
      </c>
      <c r="BH4" s="118"/>
      <c r="BI4" s="81" t="s">
        <v>49</v>
      </c>
      <c r="BJ4" s="59" t="s">
        <v>50</v>
      </c>
      <c r="BK4" s="77" t="s">
        <v>51</v>
      </c>
      <c r="BL4" s="118"/>
      <c r="BM4" s="77" t="s">
        <v>82</v>
      </c>
      <c r="BN4" s="82" t="s">
        <v>85</v>
      </c>
      <c r="BO4" s="60" t="s">
        <v>84</v>
      </c>
      <c r="BQ4" s="58" t="s">
        <v>58</v>
      </c>
      <c r="BR4" s="59" t="s">
        <v>59</v>
      </c>
      <c r="BS4" s="77" t="s">
        <v>70</v>
      </c>
      <c r="BT4" s="118"/>
      <c r="BU4" s="59" t="s">
        <v>30</v>
      </c>
      <c r="BV4" s="121" t="s">
        <v>60</v>
      </c>
      <c r="BW4" s="59" t="s">
        <v>62</v>
      </c>
      <c r="BX4" s="78" t="s">
        <v>71</v>
      </c>
      <c r="BY4" s="76" t="s">
        <v>74</v>
      </c>
    </row>
    <row r="5" spans="1:77" x14ac:dyDescent="0.3">
      <c r="A5" s="135"/>
      <c r="B5" s="136"/>
      <c r="C5" s="83"/>
      <c r="D5" s="84"/>
      <c r="E5" s="84"/>
      <c r="F5" s="84"/>
      <c r="G5" s="142"/>
      <c r="H5" s="142"/>
      <c r="I5" s="142"/>
      <c r="J5" s="142"/>
      <c r="K5" s="84"/>
      <c r="L5" s="84"/>
      <c r="M5" s="83"/>
      <c r="N5" s="83"/>
      <c r="O5" s="84"/>
      <c r="P5" s="85"/>
      <c r="Q5" s="86"/>
      <c r="R5" s="150" t="s">
        <v>96</v>
      </c>
      <c r="S5" s="86"/>
      <c r="T5" s="87">
        <f>NPV($M$22,B6:$B$16)+NPV($M$22,G6:$G$16)+NPV($M$22,H6:$H$16)+NPV($M$22,I6:$I$16)+NPV($M$22,J6:$J$16)</f>
        <v>82.650401188049244</v>
      </c>
      <c r="U5" s="88">
        <f>+NPV($M$22,G6:$G$16)*$M$24+NPV($M$22,I6:$I$16)*$M$24+NPV($M$22,J6:$J$16)*$M$24</f>
        <v>-79.436689437442652</v>
      </c>
      <c r="V5" s="89">
        <f>T5+U5</f>
        <v>3.213711750606592</v>
      </c>
      <c r="W5" s="86"/>
      <c r="X5" s="87"/>
      <c r="Y5" s="88"/>
      <c r="Z5" s="88"/>
      <c r="AA5" s="89">
        <f>MIN(-V5,0)</f>
        <v>-3.213711750606592</v>
      </c>
      <c r="AB5" s="88"/>
      <c r="AC5" s="87"/>
      <c r="AD5" s="89"/>
      <c r="AE5" s="86"/>
      <c r="AF5" s="87"/>
      <c r="AG5" s="88"/>
      <c r="AH5" s="88"/>
      <c r="AI5" s="89"/>
      <c r="AJ5" s="90"/>
      <c r="AK5" s="87"/>
      <c r="AL5" s="88"/>
      <c r="AM5" s="88"/>
      <c r="AN5" s="89"/>
      <c r="AO5" s="86"/>
      <c r="AP5" s="87"/>
      <c r="AQ5" s="88"/>
      <c r="AR5" s="88"/>
      <c r="AS5" s="88"/>
      <c r="AT5" s="88"/>
      <c r="AU5" s="88"/>
      <c r="AV5" s="88"/>
      <c r="AW5" s="88"/>
      <c r="AX5" s="89">
        <f>T5</f>
        <v>82.650401188049244</v>
      </c>
      <c r="AY5" s="86"/>
      <c r="AZ5" s="87"/>
      <c r="BA5" s="88"/>
      <c r="BB5" s="88"/>
      <c r="BC5" s="88"/>
      <c r="BD5" s="88"/>
      <c r="BE5" s="91"/>
      <c r="BF5" s="88"/>
      <c r="BG5" s="92"/>
      <c r="BH5" s="119"/>
      <c r="BI5" s="93"/>
      <c r="BJ5" s="88"/>
      <c r="BK5" s="92"/>
      <c r="BL5" s="119"/>
      <c r="BM5" s="127">
        <f>SUM(BS5:BV5)</f>
        <v>0</v>
      </c>
      <c r="BN5" s="128">
        <f>-MAX(BM5*25%,0)</f>
        <v>0</v>
      </c>
      <c r="BO5" s="129">
        <f>BN5+BM5</f>
        <v>0</v>
      </c>
      <c r="BP5" s="86"/>
      <c r="BQ5" s="87"/>
      <c r="BR5" s="88">
        <f>MAX(0,V5)</f>
        <v>3.213711750606592</v>
      </c>
      <c r="BS5" s="92">
        <f t="shared" ref="BS5:BS16" si="0">SUM(BQ5:BR5)</f>
        <v>3.213711750606592</v>
      </c>
      <c r="BT5" s="119"/>
      <c r="BU5" s="88">
        <f t="shared" ref="BU5:BU16" si="1">AA5</f>
        <v>-3.213711750606592</v>
      </c>
      <c r="BV5" s="95">
        <f t="shared" ref="BV5" si="2">MIN(0,V5)</f>
        <v>0</v>
      </c>
      <c r="BW5" s="130">
        <f>-BO5</f>
        <v>0</v>
      </c>
      <c r="BX5" s="94">
        <f>SUM(BT5:BW5)</f>
        <v>-3.213711750606592</v>
      </c>
      <c r="BY5" s="86">
        <f>BX5+BS5</f>
        <v>0</v>
      </c>
    </row>
    <row r="6" spans="1:77" x14ac:dyDescent="0.3">
      <c r="A6" s="137">
        <v>0</v>
      </c>
      <c r="B6" s="138">
        <f>M26</f>
        <v>100</v>
      </c>
      <c r="C6" s="96">
        <f>NPV(5%,B7:$B$16)+NPV(5%,G7:$G$16)*(1+$M$24)+NPV(5%,H7:$H$16)+NPV(5%,I7:$I$16)*(1+$M$24)+NPV(5%,J7:$J$16)*(1+$M$24)</f>
        <v>-6.6256026618629988</v>
      </c>
      <c r="D6" s="97">
        <f>C6</f>
        <v>-6.6256026618629988</v>
      </c>
      <c r="E6" s="97">
        <v>0</v>
      </c>
      <c r="F6" s="97">
        <f>E6*-0.15</f>
        <v>0</v>
      </c>
      <c r="G6" s="143">
        <f t="shared" ref="G6:G16" si="3">-1%*$M$28</f>
        <v>-40</v>
      </c>
      <c r="H6" s="143">
        <v>0</v>
      </c>
      <c r="I6" s="143">
        <v>-10</v>
      </c>
      <c r="J6" s="143">
        <f>-25%*B6</f>
        <v>-25</v>
      </c>
      <c r="K6" s="97">
        <f>B6+D6+E6+F6+G6+I6+J6+H6</f>
        <v>18.374397338137001</v>
      </c>
      <c r="L6" s="97">
        <f>-MAX(SUM(B6,D6,G6,I6,J6,H6)*25%,0)</f>
        <v>-4.5935993345342503</v>
      </c>
      <c r="M6" s="96">
        <f>K6+L6</f>
        <v>13.780798003602751</v>
      </c>
      <c r="N6" s="96">
        <f>5%*$M$25*SUM(G6:$G$16)+0.75%*$M$25*SUM(H6:$H$16)*(10-A6)</f>
        <v>-148.75</v>
      </c>
      <c r="O6" s="97">
        <f>N6</f>
        <v>-148.75</v>
      </c>
      <c r="P6" s="98"/>
      <c r="Q6" s="86"/>
      <c r="R6" s="150" t="s">
        <v>96</v>
      </c>
      <c r="S6" s="86"/>
      <c r="T6" s="87">
        <f>NPV($M$22,B7:$B$16)+NPV($M$22,G7:$G$16)+NPV($M$22,H7:$H$16)+NPV($M$22,I7:$I$16)+NPV($M$22,J7:$J$16)</f>
        <v>61.782921247451782</v>
      </c>
      <c r="U6" s="88">
        <f>+NPV($M$22,G7:$G$16)*$M$24+NPV($M$22,I7:$I$16)*$M$24+NPV($M$22,J7:$J$16)*$M$24</f>
        <v>-68.408523909314781</v>
      </c>
      <c r="V6" s="89">
        <f t="shared" ref="V6:V15" si="4">T6+U6</f>
        <v>-6.6256026618629988</v>
      </c>
      <c r="W6" s="86"/>
      <c r="X6" s="87">
        <f>AA5</f>
        <v>-3.213711750606592</v>
      </c>
      <c r="Y6" s="88">
        <f>X6*$M$22</f>
        <v>-0.1606855875303296</v>
      </c>
      <c r="Z6" s="88">
        <f>-SUM(X6:Y6)*AD6</f>
        <v>0.3067633943760838</v>
      </c>
      <c r="AA6" s="89">
        <f>SUM(X6:Z6)</f>
        <v>-3.0676339437608378</v>
      </c>
      <c r="AB6" s="88"/>
      <c r="AC6" s="87">
        <f t="shared" ref="AC6:AC16" si="5">$M$28</f>
        <v>4000</v>
      </c>
      <c r="AD6" s="89">
        <f>AC6/SUM(AC6:AC$16)</f>
        <v>9.0909090909090912E-2</v>
      </c>
      <c r="AE6" s="86"/>
      <c r="AF6" s="87">
        <f>AI5</f>
        <v>0</v>
      </c>
      <c r="AG6" s="88">
        <f>AF6*$M$23</f>
        <v>0</v>
      </c>
      <c r="AH6" s="88">
        <f>BN6</f>
        <v>-3.8266908485940201</v>
      </c>
      <c r="AI6" s="89">
        <f>AF6+AG6+SUM(B6,G6:J6)+AH6</f>
        <v>21.173309151405981</v>
      </c>
      <c r="AJ6" s="90"/>
      <c r="AK6" s="87">
        <f>NPV($M$22,$H6:$H$16)</f>
        <v>-292.33964454321864</v>
      </c>
      <c r="AL6" s="88">
        <f>-AK6</f>
        <v>292.33964454321864</v>
      </c>
      <c r="AM6" s="88">
        <f>MAX(0,AN6-AL6)</f>
        <v>3707.6603554567814</v>
      </c>
      <c r="AN6" s="89">
        <f t="shared" ref="AN6:AN16" si="6">$M$28</f>
        <v>4000</v>
      </c>
      <c r="AO6" s="86"/>
      <c r="AP6" s="87">
        <f>AX5</f>
        <v>82.650401188049244</v>
      </c>
      <c r="AQ6" s="99">
        <f t="shared" ref="AQ6:AQ16" si="7">AP6*$M$22</f>
        <v>4.132520059402462</v>
      </c>
      <c r="AR6" s="88">
        <f t="shared" ref="AR6:AR16" si="8">-B6</f>
        <v>-100</v>
      </c>
      <c r="AS6" s="88">
        <f>-G6*AM6/AN6</f>
        <v>37.076603554567818</v>
      </c>
      <c r="AT6" s="88">
        <f>-G6*MIN(AN6,AL6)/AN6</f>
        <v>2.9233964454321861</v>
      </c>
      <c r="AU6" s="88">
        <f>-I6</f>
        <v>10</v>
      </c>
      <c r="AV6" s="88">
        <f>-J6</f>
        <v>25</v>
      </c>
      <c r="AW6" s="88">
        <f>-H6</f>
        <v>0</v>
      </c>
      <c r="AX6" s="89">
        <f>SUM(AP6:AW6)</f>
        <v>61.782921247451711</v>
      </c>
      <c r="AY6" s="86"/>
      <c r="AZ6" s="87">
        <f>AV6</f>
        <v>25</v>
      </c>
      <c r="BA6" s="88">
        <f>AS6</f>
        <v>37.076603554567818</v>
      </c>
      <c r="BB6" s="88">
        <f>AU6</f>
        <v>10</v>
      </c>
      <c r="BC6" s="88">
        <f>U6-U5</f>
        <v>11.028165528127872</v>
      </c>
      <c r="BD6" s="88">
        <f>Z6</f>
        <v>0.3067633943760838</v>
      </c>
      <c r="BE6" s="100">
        <f>SUM(AZ6:BD6)</f>
        <v>83.411532477071759</v>
      </c>
      <c r="BF6" s="101">
        <f>-SUM(AZ6:BB6)</f>
        <v>-72.076603554567811</v>
      </c>
      <c r="BG6" s="102">
        <f t="shared" ref="BG6:BG13" si="9">SUM(BE6:BF6)</f>
        <v>11.334928922503948</v>
      </c>
      <c r="BH6" s="119"/>
      <c r="BI6" s="93">
        <f>AG6</f>
        <v>0</v>
      </c>
      <c r="BJ6" s="125">
        <f>AQ6+Y6</f>
        <v>3.9718344718721323</v>
      </c>
      <c r="BK6" s="92">
        <f>SUM(BI6:BJ6)</f>
        <v>3.9718344718721323</v>
      </c>
      <c r="BL6" s="119"/>
      <c r="BM6" s="92">
        <f>BK6+BG6</f>
        <v>15.30676339437608</v>
      </c>
      <c r="BN6" s="91">
        <f t="shared" ref="BN6:BN16" si="10">-MAX(BM6*25%,0)</f>
        <v>-3.8266908485940201</v>
      </c>
      <c r="BO6" s="89">
        <f t="shared" ref="BO6:BO16" si="11">BN6+BM6</f>
        <v>11.480072545782061</v>
      </c>
      <c r="BP6" s="86"/>
      <c r="BQ6" s="87">
        <f>AI6</f>
        <v>21.173309151405981</v>
      </c>
      <c r="BR6" s="88">
        <f>MAX(0,V6)</f>
        <v>0</v>
      </c>
      <c r="BS6" s="92">
        <f t="shared" si="0"/>
        <v>21.173309151405981</v>
      </c>
      <c r="BT6" s="119"/>
      <c r="BU6" s="88">
        <f t="shared" si="1"/>
        <v>-3.0676339437608378</v>
      </c>
      <c r="BV6" s="95">
        <f t="shared" ref="BV6:BV16" si="12">MIN(0,V6)</f>
        <v>-6.6256026618629988</v>
      </c>
      <c r="BW6" s="88">
        <f>BW5-BO6</f>
        <v>-11.480072545782061</v>
      </c>
      <c r="BX6" s="94">
        <f>SUM(BT6:BW6)</f>
        <v>-21.173309151405896</v>
      </c>
      <c r="BY6" s="86">
        <f t="shared" ref="BY6:BY16" si="13">BX6+BS6</f>
        <v>8.5265128291212022E-14</v>
      </c>
    </row>
    <row r="7" spans="1:77" x14ac:dyDescent="0.3">
      <c r="A7" s="137">
        <v>1</v>
      </c>
      <c r="B7" s="138">
        <f>B6</f>
        <v>100</v>
      </c>
      <c r="C7" s="96">
        <f>NPV(5%,B8:$B$16)+NPV(5%,G8:$G$16)*(1+$M$24)+NPV(5%,H8:$H$16)+NPV(5%,I8:$I$16)*(1+$M$24)+NPV(5%,J8:$J$16)*(1+$M$24)</f>
        <v>-50.556882794956095</v>
      </c>
      <c r="D7" s="97">
        <f>C7-C6</f>
        <v>-43.931280133093097</v>
      </c>
      <c r="E7" s="97">
        <f>-$M$23*SUM($D$6:D6)</f>
        <v>0.53004821294903992</v>
      </c>
      <c r="F7" s="97">
        <f t="shared" ref="F7:F16" si="14">E7*-0.15</f>
        <v>-7.9507231942355983E-2</v>
      </c>
      <c r="G7" s="143">
        <f t="shared" si="3"/>
        <v>-40</v>
      </c>
      <c r="H7" s="143">
        <v>0</v>
      </c>
      <c r="I7" s="143">
        <v>-2</v>
      </c>
      <c r="J7" s="143">
        <f>-5%*B7</f>
        <v>-5</v>
      </c>
      <c r="K7" s="97">
        <f t="shared" ref="K7:K16" si="15">B7+D7+E7+F7+G7+I7+J7+H7</f>
        <v>9.5192608479135856</v>
      </c>
      <c r="L7" s="97">
        <f t="shared" ref="L7:L16" si="16">-MAX(SUM(B7,D7,G7,I7,J7,H7)*25%,0)</f>
        <v>-2.2671799667267258</v>
      </c>
      <c r="M7" s="96">
        <f t="shared" ref="M7:M16" si="17">K7+L7</f>
        <v>7.2520808811868598</v>
      </c>
      <c r="N7" s="96">
        <f>5%*$M$25*SUM(G7:$G$16)+0.75%*$M$25*SUM(H7:$H$16)*(10-A7)</f>
        <v>-134.375</v>
      </c>
      <c r="O7" s="97">
        <f>N7-N6</f>
        <v>14.375</v>
      </c>
      <c r="P7" s="98"/>
      <c r="Q7" s="86"/>
      <c r="R7" s="150" t="s">
        <v>96</v>
      </c>
      <c r="S7" s="86"/>
      <c r="T7" s="87">
        <f>NPV($M$22,B8:$B$16)+NPV($M$22,G8:$G$16)+NPV($M$22,H8:$H$16)+NPV($M$22,I8:$I$16)+NPV($M$22,J8:$J$16)</f>
        <v>11.872067309824374</v>
      </c>
      <c r="U7" s="88">
        <f>+NPV($M$22,G8:$G$16)*$M$24+NPV($M$22,I8:$I$16)*$M$24+NPV($M$22,J8:$J$16)*$M$24</f>
        <v>-62.428950104780512</v>
      </c>
      <c r="V7" s="89">
        <f t="shared" si="4"/>
        <v>-50.556882794956138</v>
      </c>
      <c r="W7" s="86"/>
      <c r="X7" s="87">
        <f t="shared" ref="X7:X16" si="18">AA6</f>
        <v>-3.0676339437608378</v>
      </c>
      <c r="Y7" s="88">
        <f t="shared" ref="Y7:Y16" si="19">X7*$M$22</f>
        <v>-0.1533816971880419</v>
      </c>
      <c r="Z7" s="88">
        <f t="shared" ref="Z7:Z16" si="20">-SUM(X7:Y7)*AD7</f>
        <v>0.32210156409488799</v>
      </c>
      <c r="AA7" s="89">
        <f t="shared" ref="AA7:AA16" si="21">SUM(X7:Z7)</f>
        <v>-2.8989140768539916</v>
      </c>
      <c r="AB7" s="88"/>
      <c r="AC7" s="87">
        <f t="shared" si="5"/>
        <v>4000</v>
      </c>
      <c r="AD7" s="89">
        <f>AC7/SUM(AC7:AC$16)</f>
        <v>0.1</v>
      </c>
      <c r="AE7" s="86"/>
      <c r="AF7" s="87">
        <f t="shared" ref="AF7:AF16" si="22">AI6</f>
        <v>21.173309151405981</v>
      </c>
      <c r="AG7" s="88">
        <f t="shared" ref="AG7:AG16" si="23">AF7*$M$23</f>
        <v>1.6938647321124785</v>
      </c>
      <c r="AH7" s="88">
        <f t="shared" ref="AH7:AH16" si="24">BN7</f>
        <v>-2.7328261164815446</v>
      </c>
      <c r="AI7" s="89">
        <f t="shared" ref="AI7:AI16" si="25">AF7+AG7+SUM(B7,G7:J7)+AH7</f>
        <v>73.134347767036914</v>
      </c>
      <c r="AJ7" s="90"/>
      <c r="AK7" s="87">
        <f>NPV($M$22,$H7:$H$16)</f>
        <v>-306.95662677037956</v>
      </c>
      <c r="AL7" s="88">
        <f t="shared" ref="AL7:AL16" si="26">-AK7</f>
        <v>306.95662677037956</v>
      </c>
      <c r="AM7" s="88">
        <f t="shared" ref="AM7:AM16" si="27">MAX(0,AN7-AL7)</f>
        <v>3693.0433732296206</v>
      </c>
      <c r="AN7" s="89">
        <f t="shared" si="6"/>
        <v>4000</v>
      </c>
      <c r="AO7" s="86"/>
      <c r="AP7" s="87">
        <f t="shared" ref="AP7:AP16" si="28">AX6</f>
        <v>61.782921247451711</v>
      </c>
      <c r="AQ7" s="99">
        <f t="shared" si="7"/>
        <v>3.0891460623725857</v>
      </c>
      <c r="AR7" s="88">
        <f t="shared" si="8"/>
        <v>-100</v>
      </c>
      <c r="AS7" s="88">
        <f t="shared" ref="AS7:AS16" si="29">-G7*AM7/AN7</f>
        <v>36.930433732296208</v>
      </c>
      <c r="AT7" s="88">
        <f t="shared" ref="AT7:AT16" si="30">-G7*MIN(AN7,AL7)/AN7</f>
        <v>3.0695662677037951</v>
      </c>
      <c r="AU7" s="88">
        <f t="shared" ref="AU7:AU16" si="31">-I7</f>
        <v>2</v>
      </c>
      <c r="AV7" s="88">
        <f t="shared" ref="AV7:AV16" si="32">-J7</f>
        <v>5</v>
      </c>
      <c r="AW7" s="88">
        <f t="shared" ref="AW7:AW16" si="33">-H7</f>
        <v>0</v>
      </c>
      <c r="AX7" s="89">
        <f t="shared" ref="AX7:AX16" si="34">SUM(AP7:AW7)</f>
        <v>11.872067309824306</v>
      </c>
      <c r="AY7" s="86"/>
      <c r="AZ7" s="87">
        <f t="shared" ref="AZ7:AZ16" si="35">AV7</f>
        <v>5</v>
      </c>
      <c r="BA7" s="88">
        <f t="shared" ref="BA7:BA16" si="36">AS7</f>
        <v>36.930433732296208</v>
      </c>
      <c r="BB7" s="88">
        <f t="shared" ref="BB7:BB16" si="37">AU7</f>
        <v>2</v>
      </c>
      <c r="BC7" s="88">
        <f t="shared" ref="BC7:BC16" si="38">U7-U6</f>
        <v>5.9795738045342688</v>
      </c>
      <c r="BD7" s="88">
        <f t="shared" ref="BD7:BD16" si="39">Z7</f>
        <v>0.32210156409488799</v>
      </c>
      <c r="BE7" s="100">
        <f t="shared" ref="BE7:BE16" si="40">SUM(AZ7:BD7)</f>
        <v>50.232109100925364</v>
      </c>
      <c r="BF7" s="101">
        <f t="shared" ref="BF7:BF16" si="41">-SUM(AZ7:BB7)</f>
        <v>-43.930433732296208</v>
      </c>
      <c r="BG7" s="102">
        <f t="shared" si="9"/>
        <v>6.3016753686291551</v>
      </c>
      <c r="BH7" s="119"/>
      <c r="BI7" s="93">
        <f t="shared" ref="BI7:BI16" si="42">AG7</f>
        <v>1.6938647321124785</v>
      </c>
      <c r="BJ7" s="125">
        <f t="shared" ref="BJ7:BJ16" si="43">AQ7+Y7</f>
        <v>2.9357643651845438</v>
      </c>
      <c r="BK7" s="92">
        <f t="shared" ref="BK7:BK16" si="44">SUM(BI7:BJ7)</f>
        <v>4.6296290972970224</v>
      </c>
      <c r="BL7" s="119"/>
      <c r="BM7" s="92">
        <f t="shared" ref="BM7:BM16" si="45">BK7+BG7</f>
        <v>10.931304465926178</v>
      </c>
      <c r="BN7" s="91">
        <f t="shared" si="10"/>
        <v>-2.7328261164815446</v>
      </c>
      <c r="BO7" s="89">
        <f t="shared" si="11"/>
        <v>8.1984783494446347</v>
      </c>
      <c r="BP7" s="86"/>
      <c r="BQ7" s="87">
        <f t="shared" ref="BQ7:BQ16" si="46">AI7</f>
        <v>73.134347767036914</v>
      </c>
      <c r="BR7" s="88">
        <f t="shared" ref="BR7:BR16" si="47">MAX(0,V7)</f>
        <v>0</v>
      </c>
      <c r="BS7" s="92">
        <f t="shared" si="0"/>
        <v>73.134347767036914</v>
      </c>
      <c r="BT7" s="119"/>
      <c r="BU7" s="88">
        <f t="shared" si="1"/>
        <v>-2.8989140768539916</v>
      </c>
      <c r="BV7" s="95">
        <f t="shared" si="12"/>
        <v>-50.556882794956138</v>
      </c>
      <c r="BW7" s="88">
        <f t="shared" ref="BW7:BW16" si="48">BW6-BO7</f>
        <v>-19.678550895226696</v>
      </c>
      <c r="BX7" s="94">
        <f>SUM(BT7:BW7)</f>
        <v>-73.134347767036829</v>
      </c>
      <c r="BY7" s="86">
        <f t="shared" si="13"/>
        <v>0</v>
      </c>
    </row>
    <row r="8" spans="1:77" x14ac:dyDescent="0.3">
      <c r="A8" s="137">
        <v>2</v>
      </c>
      <c r="B8" s="138">
        <f>B6</f>
        <v>100</v>
      </c>
      <c r="C8" s="96">
        <f>NPV(5%,B9:$B$16)+NPV(5%,G9:$G$16)*(1+$M$24)+NPV(5%,H9:$H$16)+NPV(5%,I9:$I$16)*(1+$M$24)+NPV(5%,J9:$J$16)*(1+$M$24)</f>
        <v>-96.684726934703946</v>
      </c>
      <c r="D8" s="97">
        <f t="shared" ref="D8:D15" si="49">C8-C7</f>
        <v>-46.12784413974785</v>
      </c>
      <c r="E8" s="97">
        <f>-$M$23*SUM($D$6:D7)</f>
        <v>4.0445506235964874</v>
      </c>
      <c r="F8" s="97">
        <f t="shared" si="14"/>
        <v>-0.60668259353947307</v>
      </c>
      <c r="G8" s="143">
        <f t="shared" si="3"/>
        <v>-40</v>
      </c>
      <c r="H8" s="143">
        <v>0</v>
      </c>
      <c r="I8" s="143">
        <v>-2</v>
      </c>
      <c r="J8" s="143">
        <f t="shared" ref="J8:J16" si="50">-5%*B8</f>
        <v>-5</v>
      </c>
      <c r="K8" s="97">
        <f t="shared" si="15"/>
        <v>10.310023890309161</v>
      </c>
      <c r="L8" s="97">
        <f t="shared" si="16"/>
        <v>-1.7180389650630374</v>
      </c>
      <c r="M8" s="96">
        <f t="shared" si="17"/>
        <v>8.5919849252461233</v>
      </c>
      <c r="N8" s="96">
        <f>5%*$M$25*SUM(G8:$G$16)+0.75%*$M$25*SUM(H8:$H$16)*(10-A8)</f>
        <v>-120</v>
      </c>
      <c r="O8" s="97">
        <f t="shared" ref="O8:O15" si="51">N8-N7</f>
        <v>14.375</v>
      </c>
      <c r="P8" s="98"/>
      <c r="Q8" s="86"/>
      <c r="R8" s="150" t="s">
        <v>96</v>
      </c>
      <c r="S8" s="86"/>
      <c r="T8" s="87">
        <f>NPV($M$22,B9:$B$16)+NPV($M$22,G9:$G$16)+NPV($M$22,H9:$H$16)+NPV($M$22,I9:$I$16)+NPV($M$22,J9:$J$16)</f>
        <v>-40.534329324684407</v>
      </c>
      <c r="U8" s="88">
        <f>+NPV($M$22,G9:$G$16)*$M$24+NPV($M$22,I9:$I$16)*$M$24+NPV($M$22,J9:$J$16)*$M$24</f>
        <v>-56.150397610019539</v>
      </c>
      <c r="V8" s="89">
        <f t="shared" si="4"/>
        <v>-96.684726934703946</v>
      </c>
      <c r="W8" s="86"/>
      <c r="X8" s="87">
        <f t="shared" si="18"/>
        <v>-2.8989140768539916</v>
      </c>
      <c r="Y8" s="88">
        <f t="shared" si="19"/>
        <v>-0.14494570384269959</v>
      </c>
      <c r="Z8" s="88">
        <f t="shared" si="20"/>
        <v>0.33820664229963232</v>
      </c>
      <c r="AA8" s="89">
        <f t="shared" si="21"/>
        <v>-2.705653138397059</v>
      </c>
      <c r="AB8" s="88"/>
      <c r="AC8" s="87">
        <f t="shared" si="5"/>
        <v>4000</v>
      </c>
      <c r="AD8" s="89">
        <f>AC8/SUM(AC8:AC$16)</f>
        <v>0.1111111111111111</v>
      </c>
      <c r="AE8" s="86"/>
      <c r="AF8" s="87">
        <f t="shared" si="22"/>
        <v>73.134347767036914</v>
      </c>
      <c r="AG8" s="88">
        <f t="shared" si="23"/>
        <v>5.8507478213629529</v>
      </c>
      <c r="AH8" s="88">
        <f t="shared" si="24"/>
        <v>-3.2290411550180185</v>
      </c>
      <c r="AI8" s="89">
        <f t="shared" si="25"/>
        <v>128.75605443338185</v>
      </c>
      <c r="AJ8" s="90"/>
      <c r="AK8" s="87">
        <f>NPV($M$22,$H8:$H$16)</f>
        <v>-322.30445810889853</v>
      </c>
      <c r="AL8" s="88">
        <f t="shared" si="26"/>
        <v>322.30445810889853</v>
      </c>
      <c r="AM8" s="88">
        <f t="shared" si="27"/>
        <v>3677.6955418911016</v>
      </c>
      <c r="AN8" s="89">
        <f t="shared" si="6"/>
        <v>4000</v>
      </c>
      <c r="AO8" s="86"/>
      <c r="AP8" s="87">
        <f t="shared" si="28"/>
        <v>11.872067309824306</v>
      </c>
      <c r="AQ8" s="99">
        <f t="shared" si="7"/>
        <v>0.59360336549121528</v>
      </c>
      <c r="AR8" s="88">
        <f t="shared" si="8"/>
        <v>-100</v>
      </c>
      <c r="AS8" s="88">
        <f t="shared" si="29"/>
        <v>36.776955418911015</v>
      </c>
      <c r="AT8" s="88">
        <f t="shared" si="30"/>
        <v>3.2230445810889852</v>
      </c>
      <c r="AU8" s="88">
        <f t="shared" si="31"/>
        <v>2</v>
      </c>
      <c r="AV8" s="88">
        <f t="shared" si="32"/>
        <v>5</v>
      </c>
      <c r="AW8" s="88">
        <f t="shared" si="33"/>
        <v>0</v>
      </c>
      <c r="AX8" s="89">
        <f t="shared" si="34"/>
        <v>-40.534329324684478</v>
      </c>
      <c r="AY8" s="86"/>
      <c r="AZ8" s="87">
        <f t="shared" si="35"/>
        <v>5</v>
      </c>
      <c r="BA8" s="88">
        <f t="shared" si="36"/>
        <v>36.776955418911015</v>
      </c>
      <c r="BB8" s="88">
        <f t="shared" si="37"/>
        <v>2</v>
      </c>
      <c r="BC8" s="88">
        <f t="shared" si="38"/>
        <v>6.278552494760973</v>
      </c>
      <c r="BD8" s="88">
        <f t="shared" si="39"/>
        <v>0.33820664229963232</v>
      </c>
      <c r="BE8" s="100">
        <f t="shared" si="40"/>
        <v>50.39371455597162</v>
      </c>
      <c r="BF8" s="101">
        <f t="shared" si="41"/>
        <v>-43.776955418911015</v>
      </c>
      <c r="BG8" s="102">
        <f t="shared" si="9"/>
        <v>6.6167591370606047</v>
      </c>
      <c r="BH8" s="119"/>
      <c r="BI8" s="93">
        <f t="shared" si="42"/>
        <v>5.8507478213629529</v>
      </c>
      <c r="BJ8" s="125">
        <f t="shared" si="43"/>
        <v>0.44865766164851573</v>
      </c>
      <c r="BK8" s="92">
        <f t="shared" si="44"/>
        <v>6.2994054830114683</v>
      </c>
      <c r="BL8" s="119"/>
      <c r="BM8" s="92">
        <f t="shared" si="45"/>
        <v>12.916164620072074</v>
      </c>
      <c r="BN8" s="91">
        <f t="shared" si="10"/>
        <v>-3.2290411550180185</v>
      </c>
      <c r="BO8" s="89">
        <f t="shared" si="11"/>
        <v>9.6871234650540554</v>
      </c>
      <c r="BP8" s="86"/>
      <c r="BQ8" s="87">
        <f t="shared" si="46"/>
        <v>128.75605443338185</v>
      </c>
      <c r="BR8" s="88">
        <f t="shared" si="47"/>
        <v>0</v>
      </c>
      <c r="BS8" s="92">
        <f t="shared" si="0"/>
        <v>128.75605443338185</v>
      </c>
      <c r="BT8" s="119"/>
      <c r="BU8" s="88">
        <f t="shared" si="1"/>
        <v>-2.705653138397059</v>
      </c>
      <c r="BV8" s="95">
        <f t="shared" si="12"/>
        <v>-96.684726934703946</v>
      </c>
      <c r="BW8" s="88">
        <f t="shared" si="48"/>
        <v>-29.36567436028075</v>
      </c>
      <c r="BX8" s="94">
        <f t="shared" ref="BX8:BX16" si="52">SUM(BT8:BW8)</f>
        <v>-128.75605443338173</v>
      </c>
      <c r="BY8" s="86">
        <f t="shared" si="13"/>
        <v>0</v>
      </c>
    </row>
    <row r="9" spans="1:77" x14ac:dyDescent="0.3">
      <c r="A9" s="137">
        <v>3</v>
      </c>
      <c r="B9" s="138">
        <f t="shared" ref="B9:B15" si="53">B7</f>
        <v>100</v>
      </c>
      <c r="C9" s="96">
        <f>NPV(5%,B10:$B$16)+NPV(5%,G10:$G$16)*(1+$M$24)+NPV(5%,H10:$H$16)+NPV(5%,I10:$I$16)*(1+$M$24)+NPV(5%,J10:$J$16)*(1+$M$24)</f>
        <v>-145.11896328143911</v>
      </c>
      <c r="D9" s="97">
        <f t="shared" si="49"/>
        <v>-48.434236346735162</v>
      </c>
      <c r="E9" s="97">
        <f>-$M$23*SUM($D$6:D8)</f>
        <v>7.7347781547763157</v>
      </c>
      <c r="F9" s="97">
        <f t="shared" si="14"/>
        <v>-1.1602167232164473</v>
      </c>
      <c r="G9" s="143">
        <f t="shared" si="3"/>
        <v>-40</v>
      </c>
      <c r="H9" s="143">
        <v>0</v>
      </c>
      <c r="I9" s="143">
        <v>-2</v>
      </c>
      <c r="J9" s="143">
        <f t="shared" si="50"/>
        <v>-5</v>
      </c>
      <c r="K9" s="97">
        <f t="shared" si="15"/>
        <v>11.140325084824703</v>
      </c>
      <c r="L9" s="97">
        <f t="shared" si="16"/>
        <v>-1.1414409133162096</v>
      </c>
      <c r="M9" s="96">
        <f t="shared" si="17"/>
        <v>9.9988841715084931</v>
      </c>
      <c r="N9" s="96">
        <f>5%*$M$25*SUM(G9:$G$16)+0.75%*$M$25*SUM(H9:$H$16)*(10-A9)</f>
        <v>-105.625</v>
      </c>
      <c r="O9" s="97">
        <f t="shared" si="51"/>
        <v>14.375</v>
      </c>
      <c r="P9" s="98"/>
      <c r="Q9" s="86"/>
      <c r="R9" s="150" t="s">
        <v>96</v>
      </c>
      <c r="S9" s="86"/>
      <c r="T9" s="87">
        <f>NPV($M$22,B10:$B$16)+NPV($M$22,G10:$G$16)+NPV($M$22,H10:$H$16)+NPV($M$22,I10:$I$16)+NPV($M$22,J10:$J$16)</f>
        <v>-95.56104579091857</v>
      </c>
      <c r="U9" s="88">
        <f>+NPV($M$22,G10:$G$16)*$M$24+NPV($M$22,I10:$I$16)*$M$24+NPV($M$22,J10:$J$16)*$M$24</f>
        <v>-49.557917490520524</v>
      </c>
      <c r="V9" s="89">
        <f t="shared" si="4"/>
        <v>-145.11896328143911</v>
      </c>
      <c r="W9" s="86"/>
      <c r="X9" s="87">
        <f t="shared" si="18"/>
        <v>-2.705653138397059</v>
      </c>
      <c r="Y9" s="88">
        <f t="shared" si="19"/>
        <v>-0.13528265691985294</v>
      </c>
      <c r="Z9" s="88">
        <f t="shared" si="20"/>
        <v>0.35511697441461398</v>
      </c>
      <c r="AA9" s="89">
        <f t="shared" si="21"/>
        <v>-2.4858188209022978</v>
      </c>
      <c r="AB9" s="88"/>
      <c r="AC9" s="87">
        <f t="shared" si="5"/>
        <v>4000</v>
      </c>
      <c r="AD9" s="89">
        <f>AC9/SUM(AC9:AC$16)</f>
        <v>0.125</v>
      </c>
      <c r="AE9" s="86"/>
      <c r="AF9" s="87">
        <f t="shared" si="22"/>
        <v>128.75605443338185</v>
      </c>
      <c r="AG9" s="88">
        <f t="shared" si="23"/>
        <v>10.300484354670548</v>
      </c>
      <c r="AH9" s="88">
        <f t="shared" si="24"/>
        <v>-3.771520581357525</v>
      </c>
      <c r="AI9" s="89">
        <f t="shared" si="25"/>
        <v>188.28501820669487</v>
      </c>
      <c r="AJ9" s="90"/>
      <c r="AK9" s="87">
        <f>NPV($M$22,$H9:$H$16)</f>
        <v>-338.41968101434344</v>
      </c>
      <c r="AL9" s="88">
        <f t="shared" si="26"/>
        <v>338.41968101434344</v>
      </c>
      <c r="AM9" s="88">
        <f t="shared" si="27"/>
        <v>3661.5803189856565</v>
      </c>
      <c r="AN9" s="89">
        <f t="shared" si="6"/>
        <v>4000</v>
      </c>
      <c r="AO9" s="86"/>
      <c r="AP9" s="87">
        <f t="shared" si="28"/>
        <v>-40.534329324684478</v>
      </c>
      <c r="AQ9" s="99">
        <f t="shared" si="7"/>
        <v>-2.0267164662342241</v>
      </c>
      <c r="AR9" s="88">
        <f t="shared" si="8"/>
        <v>-100</v>
      </c>
      <c r="AS9" s="88">
        <f t="shared" si="29"/>
        <v>36.615803189856571</v>
      </c>
      <c r="AT9" s="88">
        <f t="shared" si="30"/>
        <v>3.3841968101434343</v>
      </c>
      <c r="AU9" s="88">
        <f t="shared" si="31"/>
        <v>2</v>
      </c>
      <c r="AV9" s="88">
        <f t="shared" si="32"/>
        <v>5</v>
      </c>
      <c r="AW9" s="88">
        <f t="shared" si="33"/>
        <v>0</v>
      </c>
      <c r="AX9" s="89">
        <f t="shared" si="34"/>
        <v>-95.561045790918712</v>
      </c>
      <c r="AY9" s="86"/>
      <c r="AZ9" s="87">
        <f t="shared" si="35"/>
        <v>5</v>
      </c>
      <c r="BA9" s="88">
        <f t="shared" si="36"/>
        <v>36.615803189856571</v>
      </c>
      <c r="BB9" s="88">
        <f t="shared" si="37"/>
        <v>2</v>
      </c>
      <c r="BC9" s="88">
        <f t="shared" si="38"/>
        <v>6.5924801194990152</v>
      </c>
      <c r="BD9" s="88">
        <f t="shared" si="39"/>
        <v>0.35511697441461398</v>
      </c>
      <c r="BE9" s="100">
        <f t="shared" si="40"/>
        <v>50.5634002837702</v>
      </c>
      <c r="BF9" s="101">
        <f t="shared" si="41"/>
        <v>-43.615803189856571</v>
      </c>
      <c r="BG9" s="102">
        <f t="shared" si="9"/>
        <v>6.9475970939136289</v>
      </c>
      <c r="BH9" s="119"/>
      <c r="BI9" s="93">
        <f t="shared" si="42"/>
        <v>10.300484354670548</v>
      </c>
      <c r="BJ9" s="125">
        <f t="shared" si="43"/>
        <v>-2.1619991231540769</v>
      </c>
      <c r="BK9" s="92">
        <f t="shared" si="44"/>
        <v>8.1384852315164711</v>
      </c>
      <c r="BL9" s="119"/>
      <c r="BM9" s="92">
        <f t="shared" si="45"/>
        <v>15.0860823254301</v>
      </c>
      <c r="BN9" s="91">
        <f t="shared" si="10"/>
        <v>-3.771520581357525</v>
      </c>
      <c r="BO9" s="89">
        <f t="shared" si="11"/>
        <v>11.314561744072575</v>
      </c>
      <c r="BP9" s="86"/>
      <c r="BQ9" s="87">
        <f t="shared" si="46"/>
        <v>188.28501820669487</v>
      </c>
      <c r="BR9" s="88">
        <f t="shared" si="47"/>
        <v>0</v>
      </c>
      <c r="BS9" s="92">
        <f t="shared" si="0"/>
        <v>188.28501820669487</v>
      </c>
      <c r="BT9" s="119"/>
      <c r="BU9" s="88">
        <f t="shared" si="1"/>
        <v>-2.4858188209022978</v>
      </c>
      <c r="BV9" s="95">
        <f t="shared" si="12"/>
        <v>-145.11896328143911</v>
      </c>
      <c r="BW9" s="88">
        <f t="shared" si="48"/>
        <v>-40.680236104353327</v>
      </c>
      <c r="BX9" s="94">
        <f t="shared" si="52"/>
        <v>-188.28501820669473</v>
      </c>
      <c r="BY9" s="86">
        <f t="shared" si="13"/>
        <v>0</v>
      </c>
    </row>
    <row r="10" spans="1:77" x14ac:dyDescent="0.3">
      <c r="A10" s="137">
        <v>4</v>
      </c>
      <c r="B10" s="138">
        <f t="shared" si="53"/>
        <v>100</v>
      </c>
      <c r="C10" s="96">
        <f>NPV(5%,B11:$B$16)+NPV(5%,G11:$G$16)*(1+$M$24)+NPV(5%,H11:$H$16)+NPV(5%,I11:$I$16)*(1+$M$24)+NPV(5%,J11:$J$16)*(1+$M$24)</f>
        <v>-195.97491144551105</v>
      </c>
      <c r="D10" s="97">
        <f t="shared" si="49"/>
        <v>-50.855948164071947</v>
      </c>
      <c r="E10" s="97">
        <f>-$M$23*SUM($D$6:D9)</f>
        <v>11.609517062515129</v>
      </c>
      <c r="F10" s="97">
        <f t="shared" si="14"/>
        <v>-1.7414275593772695</v>
      </c>
      <c r="G10" s="143">
        <f t="shared" si="3"/>
        <v>-40</v>
      </c>
      <c r="H10" s="143">
        <v>0</v>
      </c>
      <c r="I10" s="143">
        <v>-2</v>
      </c>
      <c r="J10" s="143">
        <f>-5%*B10</f>
        <v>-5</v>
      </c>
      <c r="K10" s="97">
        <f t="shared" si="15"/>
        <v>12.012141339065913</v>
      </c>
      <c r="L10" s="97">
        <f t="shared" si="16"/>
        <v>-0.53601295898201329</v>
      </c>
      <c r="M10" s="96">
        <f t="shared" si="17"/>
        <v>11.4761283800839</v>
      </c>
      <c r="N10" s="96">
        <f>5%*$M$25*SUM(G10:$G$16)+0.75%*$M$25*SUM(H10:$H$16)*(10-A10)</f>
        <v>-91.25</v>
      </c>
      <c r="O10" s="97">
        <f t="shared" si="51"/>
        <v>14.375</v>
      </c>
      <c r="P10" s="98"/>
      <c r="Q10" s="86"/>
      <c r="R10" s="150" t="s">
        <v>96</v>
      </c>
      <c r="S10" s="86"/>
      <c r="T10" s="87">
        <f>NPV($M$22,B11:$B$16)+NPV($M$22,G11:$G$16)+NPV($M$22,H11:$H$16)+NPV($M$22,I11:$I$16)+NPV($M$22,J11:$J$16)</f>
        <v>-153.33909808046451</v>
      </c>
      <c r="U10" s="88">
        <f>+NPV($M$22,G11:$G$16)*$M$24+NPV($M$22,I11:$I$16)*$M$24+NPV($M$22,J11:$J$16)*$M$24</f>
        <v>-42.635813365046552</v>
      </c>
      <c r="V10" s="89">
        <f t="shared" si="4"/>
        <v>-195.97491144551105</v>
      </c>
      <c r="W10" s="86"/>
      <c r="X10" s="87">
        <f t="shared" si="18"/>
        <v>-2.4858188209022978</v>
      </c>
      <c r="Y10" s="88">
        <f t="shared" si="19"/>
        <v>-0.1242909410451149</v>
      </c>
      <c r="Z10" s="88">
        <f t="shared" si="20"/>
        <v>0.37287282313534464</v>
      </c>
      <c r="AA10" s="89">
        <f t="shared" si="21"/>
        <v>-2.2372369388120683</v>
      </c>
      <c r="AB10" s="88"/>
      <c r="AC10" s="87">
        <f t="shared" si="5"/>
        <v>4000</v>
      </c>
      <c r="AD10" s="89">
        <f>AC10/SUM(AC10:AC$16)</f>
        <v>0.14285714285714285</v>
      </c>
      <c r="AE10" s="86"/>
      <c r="AF10" s="87">
        <f t="shared" si="22"/>
        <v>188.28501820669487</v>
      </c>
      <c r="AG10" s="88">
        <f t="shared" si="23"/>
        <v>15.06280145653559</v>
      </c>
      <c r="AH10" s="88">
        <f t="shared" si="24"/>
        <v>-4.3638587936384639</v>
      </c>
      <c r="AI10" s="89">
        <f t="shared" si="25"/>
        <v>251.98396086959198</v>
      </c>
      <c r="AJ10" s="90"/>
      <c r="AK10" s="87">
        <f>NPV($M$22,$H10:$H$16)</f>
        <v>-355.34066506506065</v>
      </c>
      <c r="AL10" s="88">
        <f t="shared" si="26"/>
        <v>355.34066506506065</v>
      </c>
      <c r="AM10" s="88">
        <f t="shared" si="27"/>
        <v>3644.6593349349396</v>
      </c>
      <c r="AN10" s="89">
        <f t="shared" si="6"/>
        <v>4000</v>
      </c>
      <c r="AO10" s="86"/>
      <c r="AP10" s="87">
        <f t="shared" si="28"/>
        <v>-95.561045790918712</v>
      </c>
      <c r="AQ10" s="99">
        <f t="shared" si="7"/>
        <v>-4.7780522895459354</v>
      </c>
      <c r="AR10" s="88">
        <f t="shared" si="8"/>
        <v>-100</v>
      </c>
      <c r="AS10" s="88">
        <f t="shared" si="29"/>
        <v>36.446593349349392</v>
      </c>
      <c r="AT10" s="88">
        <f t="shared" si="30"/>
        <v>3.5534066506506066</v>
      </c>
      <c r="AU10" s="88">
        <f t="shared" si="31"/>
        <v>2</v>
      </c>
      <c r="AV10" s="88">
        <f t="shared" si="32"/>
        <v>5</v>
      </c>
      <c r="AW10" s="88">
        <f t="shared" si="33"/>
        <v>0</v>
      </c>
      <c r="AX10" s="89">
        <f t="shared" si="34"/>
        <v>-153.33909808046465</v>
      </c>
      <c r="AY10" s="86"/>
      <c r="AZ10" s="87">
        <f t="shared" si="35"/>
        <v>5</v>
      </c>
      <c r="BA10" s="88">
        <f t="shared" si="36"/>
        <v>36.446593349349392</v>
      </c>
      <c r="BB10" s="88">
        <f t="shared" si="37"/>
        <v>2</v>
      </c>
      <c r="BC10" s="88">
        <f t="shared" si="38"/>
        <v>6.9221041254739717</v>
      </c>
      <c r="BD10" s="88">
        <f t="shared" si="39"/>
        <v>0.37287282313534464</v>
      </c>
      <c r="BE10" s="100">
        <f t="shared" si="40"/>
        <v>50.74157029795871</v>
      </c>
      <c r="BF10" s="101">
        <f t="shared" si="41"/>
        <v>-43.446593349349392</v>
      </c>
      <c r="BG10" s="102">
        <f t="shared" si="9"/>
        <v>7.2949769486093174</v>
      </c>
      <c r="BH10" s="119"/>
      <c r="BI10" s="93">
        <f t="shared" si="42"/>
        <v>15.06280145653559</v>
      </c>
      <c r="BJ10" s="125">
        <f t="shared" si="43"/>
        <v>-4.9023432305910504</v>
      </c>
      <c r="BK10" s="92">
        <f t="shared" si="44"/>
        <v>10.16045822594454</v>
      </c>
      <c r="BL10" s="119"/>
      <c r="BM10" s="92">
        <f t="shared" si="45"/>
        <v>17.455435174553855</v>
      </c>
      <c r="BN10" s="91">
        <f t="shared" si="10"/>
        <v>-4.3638587936384639</v>
      </c>
      <c r="BO10" s="89">
        <f t="shared" si="11"/>
        <v>13.091576380915392</v>
      </c>
      <c r="BP10" s="86"/>
      <c r="BQ10" s="87">
        <f t="shared" si="46"/>
        <v>251.98396086959198</v>
      </c>
      <c r="BR10" s="88">
        <f t="shared" si="47"/>
        <v>0</v>
      </c>
      <c r="BS10" s="92">
        <f t="shared" si="0"/>
        <v>251.98396086959198</v>
      </c>
      <c r="BT10" s="119"/>
      <c r="BU10" s="88">
        <f t="shared" si="1"/>
        <v>-2.2372369388120683</v>
      </c>
      <c r="BV10" s="95">
        <f t="shared" si="12"/>
        <v>-195.97491144551105</v>
      </c>
      <c r="BW10" s="88">
        <f t="shared" si="48"/>
        <v>-53.771812485268718</v>
      </c>
      <c r="BX10" s="94">
        <f t="shared" si="52"/>
        <v>-251.98396086959184</v>
      </c>
      <c r="BY10" s="86">
        <f t="shared" si="13"/>
        <v>0</v>
      </c>
    </row>
    <row r="11" spans="1:77" x14ac:dyDescent="0.3">
      <c r="A11" s="137">
        <v>5</v>
      </c>
      <c r="B11" s="138">
        <f t="shared" si="53"/>
        <v>100</v>
      </c>
      <c r="C11" s="96">
        <f>NPV(5%,B12:$B$16)+NPV(5%,G12:$G$16)*(1+$M$24)+NPV(5%,H12:$H$16)+NPV(5%,I12:$I$16)*(1+$M$24)+NPV(5%,J12:$J$16)*(1+$M$24)</f>
        <v>-255.37365701778668</v>
      </c>
      <c r="D11" s="97">
        <f t="shared" si="49"/>
        <v>-59.398745572275629</v>
      </c>
      <c r="E11" s="97">
        <f>-$M$23*SUM($D$6:D10)</f>
        <v>15.677992915640885</v>
      </c>
      <c r="F11" s="97">
        <f t="shared" si="14"/>
        <v>-2.3516989373461326</v>
      </c>
      <c r="G11" s="143">
        <f t="shared" si="3"/>
        <v>-40</v>
      </c>
      <c r="H11" s="143">
        <v>0</v>
      </c>
      <c r="I11" s="143">
        <v>-2</v>
      </c>
      <c r="J11" s="143">
        <v>0</v>
      </c>
      <c r="K11" s="97">
        <f t="shared" si="15"/>
        <v>11.92754840601912</v>
      </c>
      <c r="L11" s="97">
        <f t="shared" si="16"/>
        <v>0</v>
      </c>
      <c r="M11" s="96">
        <f t="shared" si="17"/>
        <v>11.92754840601912</v>
      </c>
      <c r="N11" s="96">
        <f>5%*$M$25*SUM(G11:$G$16)+0.75%*$M$25*SUM(H11:$H$16)*(10-A11)</f>
        <v>-76.875</v>
      </c>
      <c r="O11" s="97">
        <f t="shared" si="51"/>
        <v>14.375</v>
      </c>
      <c r="P11" s="98"/>
      <c r="Q11" s="86"/>
      <c r="R11" s="150" t="s">
        <v>96</v>
      </c>
      <c r="S11" s="86"/>
      <c r="T11" s="87">
        <f>NPV($M$22,B12:$B$16)+NPV($M$22,G12:$G$16)+NPV($M$22,H12:$H$16)+NPV($M$22,I12:$I$16)+NPV($M$22,J12:$J$16)</f>
        <v>-219.00605298448784</v>
      </c>
      <c r="U11" s="88">
        <f>+NPV($M$22,G12:$G$16)*$M$24+NPV($M$22,I12:$I$16)*$M$24+NPV($M$22,J12:$J$16)*$M$24</f>
        <v>-36.367604033298882</v>
      </c>
      <c r="V11" s="89">
        <f t="shared" si="4"/>
        <v>-255.37365701778671</v>
      </c>
      <c r="W11" s="86"/>
      <c r="X11" s="87">
        <f t="shared" si="18"/>
        <v>-2.2372369388120683</v>
      </c>
      <c r="Y11" s="88">
        <f t="shared" si="19"/>
        <v>-0.11186184694060342</v>
      </c>
      <c r="Z11" s="88">
        <f t="shared" si="20"/>
        <v>0.3915164642921119</v>
      </c>
      <c r="AA11" s="89">
        <f t="shared" si="21"/>
        <v>-1.9575823214605597</v>
      </c>
      <c r="AB11" s="88"/>
      <c r="AC11" s="87">
        <f t="shared" si="5"/>
        <v>4000</v>
      </c>
      <c r="AD11" s="89">
        <f>AC11/SUM(AC11:AC$16)</f>
        <v>0.16666666666666666</v>
      </c>
      <c r="AE11" s="86"/>
      <c r="AF11" s="87">
        <f t="shared" si="22"/>
        <v>251.98396086959198</v>
      </c>
      <c r="AG11" s="88">
        <f t="shared" si="23"/>
        <v>20.15871686956736</v>
      </c>
      <c r="AH11" s="88">
        <f t="shared" si="24"/>
        <v>-4.7599064786608256</v>
      </c>
      <c r="AI11" s="89">
        <f t="shared" si="25"/>
        <v>325.38277126049854</v>
      </c>
      <c r="AJ11" s="90"/>
      <c r="AK11" s="87">
        <f>NPV($M$22,$H11:$H$16)</f>
        <v>-373.10769831831368</v>
      </c>
      <c r="AL11" s="88">
        <f t="shared" si="26"/>
        <v>373.10769831831368</v>
      </c>
      <c r="AM11" s="88">
        <f t="shared" si="27"/>
        <v>3626.8923016816861</v>
      </c>
      <c r="AN11" s="89">
        <f t="shared" si="6"/>
        <v>4000</v>
      </c>
      <c r="AO11" s="86"/>
      <c r="AP11" s="87">
        <f t="shared" si="28"/>
        <v>-153.33909808046465</v>
      </c>
      <c r="AQ11" s="99">
        <f t="shared" si="7"/>
        <v>-7.6669549040232328</v>
      </c>
      <c r="AR11" s="88">
        <f t="shared" si="8"/>
        <v>-100</v>
      </c>
      <c r="AS11" s="88">
        <f t="shared" si="29"/>
        <v>36.268923016816856</v>
      </c>
      <c r="AT11" s="88">
        <f t="shared" si="30"/>
        <v>3.7310769831831365</v>
      </c>
      <c r="AU11" s="88">
        <f t="shared" si="31"/>
        <v>2</v>
      </c>
      <c r="AV11" s="88">
        <f t="shared" si="32"/>
        <v>0</v>
      </c>
      <c r="AW11" s="88">
        <f t="shared" si="33"/>
        <v>0</v>
      </c>
      <c r="AX11" s="89">
        <f t="shared" si="34"/>
        <v>-219.00605298448789</v>
      </c>
      <c r="AY11" s="86"/>
      <c r="AZ11" s="87">
        <f t="shared" si="35"/>
        <v>0</v>
      </c>
      <c r="BA11" s="88">
        <f t="shared" si="36"/>
        <v>36.268923016816856</v>
      </c>
      <c r="BB11" s="88">
        <f t="shared" si="37"/>
        <v>2</v>
      </c>
      <c r="BC11" s="88">
        <f t="shared" si="38"/>
        <v>6.2682093317476699</v>
      </c>
      <c r="BD11" s="88">
        <f t="shared" si="39"/>
        <v>0.3915164642921119</v>
      </c>
      <c r="BE11" s="100">
        <f t="shared" si="40"/>
        <v>44.928648812856636</v>
      </c>
      <c r="BF11" s="101">
        <f t="shared" si="41"/>
        <v>-38.268923016816856</v>
      </c>
      <c r="BG11" s="102">
        <f t="shared" si="9"/>
        <v>6.6597257960397798</v>
      </c>
      <c r="BH11" s="119"/>
      <c r="BI11" s="93">
        <f t="shared" si="42"/>
        <v>20.15871686956736</v>
      </c>
      <c r="BJ11" s="125">
        <f t="shared" si="43"/>
        <v>-7.778816750963836</v>
      </c>
      <c r="BK11" s="92">
        <f t="shared" si="44"/>
        <v>12.379900118603524</v>
      </c>
      <c r="BL11" s="119"/>
      <c r="BM11" s="92">
        <f t="shared" si="45"/>
        <v>19.039625914643302</v>
      </c>
      <c r="BN11" s="91">
        <f t="shared" si="10"/>
        <v>-4.7599064786608256</v>
      </c>
      <c r="BO11" s="89">
        <f t="shared" si="11"/>
        <v>14.279719435982477</v>
      </c>
      <c r="BP11" s="86"/>
      <c r="BQ11" s="87">
        <f t="shared" si="46"/>
        <v>325.38277126049854</v>
      </c>
      <c r="BR11" s="88">
        <f t="shared" si="47"/>
        <v>0</v>
      </c>
      <c r="BS11" s="92">
        <f t="shared" si="0"/>
        <v>325.38277126049854</v>
      </c>
      <c r="BT11" s="119"/>
      <c r="BU11" s="88">
        <f t="shared" si="1"/>
        <v>-1.9575823214605597</v>
      </c>
      <c r="BV11" s="95">
        <f t="shared" si="12"/>
        <v>-255.37365701778671</v>
      </c>
      <c r="BW11" s="88">
        <f t="shared" si="48"/>
        <v>-68.051531921251197</v>
      </c>
      <c r="BX11" s="94">
        <f t="shared" si="52"/>
        <v>-325.38277126049843</v>
      </c>
      <c r="BY11" s="86">
        <f t="shared" si="13"/>
        <v>0</v>
      </c>
    </row>
    <row r="12" spans="1:77" x14ac:dyDescent="0.3">
      <c r="A12" s="137">
        <v>6</v>
      </c>
      <c r="B12" s="138">
        <f t="shared" si="53"/>
        <v>100</v>
      </c>
      <c r="C12" s="96">
        <f>NPV(5%,B13:$B$16)+NPV(5%,G13:$G$16)*(1+$M$24)+NPV(5%,H13:$H$16)+NPV(5%,I13:$I$16)*(1+$M$24)+NPV(5%,J13:$J$16)*(1+$M$24)</f>
        <v>-317.74233986867603</v>
      </c>
      <c r="D12" s="97">
        <f t="shared" si="49"/>
        <v>-62.368682850889343</v>
      </c>
      <c r="E12" s="97">
        <f>-$M$23*SUM($D$6:D11)</f>
        <v>20.429892561422935</v>
      </c>
      <c r="F12" s="97">
        <f t="shared" si="14"/>
        <v>-3.0644838842134403</v>
      </c>
      <c r="G12" s="143">
        <f t="shared" si="3"/>
        <v>-40</v>
      </c>
      <c r="H12" s="143">
        <v>0</v>
      </c>
      <c r="I12" s="143">
        <v>-2</v>
      </c>
      <c r="J12" s="143">
        <v>0</v>
      </c>
      <c r="K12" s="97">
        <f t="shared" si="15"/>
        <v>12.996725826320151</v>
      </c>
      <c r="L12" s="97">
        <f t="shared" si="16"/>
        <v>0</v>
      </c>
      <c r="M12" s="96">
        <f t="shared" si="17"/>
        <v>12.996725826320151</v>
      </c>
      <c r="N12" s="96">
        <f>5%*$M$25*SUM(G12:$G$16)+0.75%*$M$25*SUM(H12:$H$16)*(10-A12)</f>
        <v>-62.5</v>
      </c>
      <c r="O12" s="97">
        <f t="shared" si="51"/>
        <v>14.375</v>
      </c>
      <c r="P12" s="98"/>
      <c r="Q12" s="86"/>
      <c r="R12" s="150" t="s">
        <v>96</v>
      </c>
      <c r="S12" s="86"/>
      <c r="T12" s="87">
        <f>NPV($M$22,B13:$B$16)+NPV($M$22,G13:$G$16)+NPV($M$22,H13:$H$16)+NPV($M$22,I13:$I$16)+NPV($M$22,J13:$J$16)</f>
        <v>-287.95635563371223</v>
      </c>
      <c r="U12" s="88">
        <f>+NPV($M$22,G13:$G$16)*$M$24+NPV($M$22,I13:$I$16)*$M$24+NPV($M$22,J13:$J$16)*$M$24</f>
        <v>-29.785984234963827</v>
      </c>
      <c r="V12" s="89">
        <f t="shared" si="4"/>
        <v>-317.74233986867608</v>
      </c>
      <c r="W12" s="86"/>
      <c r="X12" s="87">
        <f t="shared" si="18"/>
        <v>-1.9575823214605597</v>
      </c>
      <c r="Y12" s="88">
        <f t="shared" si="19"/>
        <v>-9.7879116073027989E-2</v>
      </c>
      <c r="Z12" s="88">
        <f t="shared" si="20"/>
        <v>0.41109228750671756</v>
      </c>
      <c r="AA12" s="89">
        <f t="shared" si="21"/>
        <v>-1.6443691500268702</v>
      </c>
      <c r="AB12" s="88"/>
      <c r="AC12" s="87">
        <f t="shared" si="5"/>
        <v>4000</v>
      </c>
      <c r="AD12" s="89">
        <f>AC12/SUM(AC12:AC$16)</f>
        <v>0.2</v>
      </c>
      <c r="AE12" s="86"/>
      <c r="AF12" s="87">
        <f t="shared" si="22"/>
        <v>325.38277126049854</v>
      </c>
      <c r="AG12" s="88">
        <f t="shared" si="23"/>
        <v>26.030621700839884</v>
      </c>
      <c r="AH12" s="88">
        <f t="shared" si="24"/>
        <v>-5.4937880053460582</v>
      </c>
      <c r="AI12" s="89">
        <f t="shared" si="25"/>
        <v>403.91960495599238</v>
      </c>
      <c r="AJ12" s="90"/>
      <c r="AK12" s="87">
        <f>NPV($M$22,$H12:$H$16)</f>
        <v>-391.76308323422944</v>
      </c>
      <c r="AL12" s="88">
        <f t="shared" si="26"/>
        <v>391.76308323422944</v>
      </c>
      <c r="AM12" s="88">
        <f t="shared" si="27"/>
        <v>3608.2369167657707</v>
      </c>
      <c r="AN12" s="89">
        <f t="shared" si="6"/>
        <v>4000</v>
      </c>
      <c r="AO12" s="86"/>
      <c r="AP12" s="87">
        <f t="shared" si="28"/>
        <v>-219.00605298448789</v>
      </c>
      <c r="AQ12" s="99">
        <f t="shared" si="7"/>
        <v>-10.950302649224396</v>
      </c>
      <c r="AR12" s="88">
        <f t="shared" si="8"/>
        <v>-100</v>
      </c>
      <c r="AS12" s="88">
        <f t="shared" si="29"/>
        <v>36.08236916765771</v>
      </c>
      <c r="AT12" s="88">
        <f t="shared" si="30"/>
        <v>3.9176308323422946</v>
      </c>
      <c r="AU12" s="88">
        <f t="shared" si="31"/>
        <v>2</v>
      </c>
      <c r="AV12" s="88">
        <f t="shared" si="32"/>
        <v>0</v>
      </c>
      <c r="AW12" s="88">
        <f t="shared" si="33"/>
        <v>0</v>
      </c>
      <c r="AX12" s="89">
        <f t="shared" si="34"/>
        <v>-287.95635563371229</v>
      </c>
      <c r="AY12" s="86"/>
      <c r="AZ12" s="87">
        <f t="shared" si="35"/>
        <v>0</v>
      </c>
      <c r="BA12" s="88">
        <f t="shared" si="36"/>
        <v>36.08236916765771</v>
      </c>
      <c r="BB12" s="88">
        <f t="shared" si="37"/>
        <v>2</v>
      </c>
      <c r="BC12" s="88">
        <f t="shared" si="38"/>
        <v>6.5816197983350548</v>
      </c>
      <c r="BD12" s="88">
        <f t="shared" si="39"/>
        <v>0.41109228750671756</v>
      </c>
      <c r="BE12" s="100">
        <f t="shared" si="40"/>
        <v>45.075081253499484</v>
      </c>
      <c r="BF12" s="101">
        <f t="shared" si="41"/>
        <v>-38.08236916765771</v>
      </c>
      <c r="BG12" s="102">
        <f t="shared" si="9"/>
        <v>6.9927120858417737</v>
      </c>
      <c r="BH12" s="119"/>
      <c r="BI12" s="93">
        <f t="shared" si="42"/>
        <v>26.030621700839884</v>
      </c>
      <c r="BJ12" s="125">
        <f t="shared" si="43"/>
        <v>-11.048181765297423</v>
      </c>
      <c r="BK12" s="92">
        <f t="shared" si="44"/>
        <v>14.982439935542461</v>
      </c>
      <c r="BL12" s="119"/>
      <c r="BM12" s="92">
        <f t="shared" si="45"/>
        <v>21.975152021384233</v>
      </c>
      <c r="BN12" s="91">
        <f t="shared" si="10"/>
        <v>-5.4937880053460582</v>
      </c>
      <c r="BO12" s="89">
        <f t="shared" si="11"/>
        <v>16.481364016038174</v>
      </c>
      <c r="BP12" s="86"/>
      <c r="BQ12" s="87">
        <f t="shared" si="46"/>
        <v>403.91960495599238</v>
      </c>
      <c r="BR12" s="88">
        <f t="shared" si="47"/>
        <v>0</v>
      </c>
      <c r="BS12" s="92">
        <f t="shared" si="0"/>
        <v>403.91960495599238</v>
      </c>
      <c r="BT12" s="119"/>
      <c r="BU12" s="88">
        <f t="shared" si="1"/>
        <v>-1.6443691500268702</v>
      </c>
      <c r="BV12" s="95">
        <f t="shared" si="12"/>
        <v>-317.74233986867608</v>
      </c>
      <c r="BW12" s="88">
        <f t="shared" si="48"/>
        <v>-84.532895937289368</v>
      </c>
      <c r="BX12" s="94">
        <f t="shared" si="52"/>
        <v>-403.91960495599233</v>
      </c>
      <c r="BY12" s="86">
        <f t="shared" si="13"/>
        <v>0</v>
      </c>
    </row>
    <row r="13" spans="1:77" x14ac:dyDescent="0.3">
      <c r="A13" s="137">
        <v>7</v>
      </c>
      <c r="B13" s="138">
        <f t="shared" si="53"/>
        <v>100</v>
      </c>
      <c r="C13" s="96">
        <f>NPV(5%,B14:$B$16)+NPV(5%,G14:$G$16)*(1+$M$24)+NPV(5%,H14:$H$16)+NPV(5%,I14:$I$16)*(1+$M$24)+NPV(5%,J14:$J$16)*(1+$M$24)</f>
        <v>-383.22945686210988</v>
      </c>
      <c r="D13" s="97">
        <f t="shared" si="49"/>
        <v>-65.487116993433858</v>
      </c>
      <c r="E13" s="97">
        <f>-$M$23*SUM($D$6:D12)</f>
        <v>25.419387189494081</v>
      </c>
      <c r="F13" s="97">
        <f t="shared" si="14"/>
        <v>-3.8129080784241118</v>
      </c>
      <c r="G13" s="143">
        <f t="shared" si="3"/>
        <v>-40</v>
      </c>
      <c r="H13" s="143">
        <v>0</v>
      </c>
      <c r="I13" s="143">
        <v>-2</v>
      </c>
      <c r="J13" s="143">
        <v>0</v>
      </c>
      <c r="K13" s="97">
        <f t="shared" si="15"/>
        <v>14.119362117636115</v>
      </c>
      <c r="L13" s="97">
        <f t="shared" si="16"/>
        <v>0</v>
      </c>
      <c r="M13" s="96">
        <f t="shared" si="17"/>
        <v>14.119362117636115</v>
      </c>
      <c r="N13" s="96">
        <f>5%*$M$25*SUM(G13:$G$16)+0.75%*$M$25*SUM(H13:$H$16)*(10-A13)</f>
        <v>-48.125</v>
      </c>
      <c r="O13" s="97">
        <f t="shared" si="51"/>
        <v>14.375</v>
      </c>
      <c r="P13" s="98"/>
      <c r="Q13" s="86"/>
      <c r="R13" s="150" t="s">
        <v>96</v>
      </c>
      <c r="S13" s="86"/>
      <c r="T13" s="87">
        <f>NPV($M$22,B14:$B$16)+NPV($M$22,G14:$G$16)+NPV($M$22,H14:$H$16)+NPV($M$22,I14:$I$16)+NPV($M$22,J14:$J$16)</f>
        <v>-360.35417341539784</v>
      </c>
      <c r="U13" s="88">
        <f>+NPV($M$22,G14:$G$16)*$M$24+NPV($M$22,I14:$I$16)*$M$24+NPV($M$22,J14:$J$16)*$M$24</f>
        <v>-22.875283446712018</v>
      </c>
      <c r="V13" s="89">
        <f t="shared" si="4"/>
        <v>-383.22945686210983</v>
      </c>
      <c r="W13" s="86"/>
      <c r="X13" s="87">
        <f t="shared" si="18"/>
        <v>-1.6443691500268702</v>
      </c>
      <c r="Y13" s="88">
        <f t="shared" si="19"/>
        <v>-8.2218457501343517E-2</v>
      </c>
      <c r="Z13" s="88">
        <f t="shared" si="20"/>
        <v>0.43164690188205346</v>
      </c>
      <c r="AA13" s="89">
        <f t="shared" si="21"/>
        <v>-1.2949407056461604</v>
      </c>
      <c r="AB13" s="88"/>
      <c r="AC13" s="87">
        <f t="shared" si="5"/>
        <v>4000</v>
      </c>
      <c r="AD13" s="89">
        <f>AC13/SUM(AC13:AC$16)</f>
        <v>0.25</v>
      </c>
      <c r="AE13" s="86"/>
      <c r="AF13" s="87">
        <f t="shared" si="22"/>
        <v>403.91960495599238</v>
      </c>
      <c r="AG13" s="88">
        <f t="shared" si="23"/>
        <v>32.31356839647939</v>
      </c>
      <c r="AH13" s="88">
        <f t="shared" si="24"/>
        <v>-6.2939699618565736</v>
      </c>
      <c r="AI13" s="89">
        <f t="shared" si="25"/>
        <v>487.93920339061521</v>
      </c>
      <c r="AJ13" s="90"/>
      <c r="AK13" s="87">
        <f>NPV($M$22,$H13:$H$16)</f>
        <v>-411.35123739594093</v>
      </c>
      <c r="AL13" s="88">
        <f t="shared" si="26"/>
        <v>411.35123739594093</v>
      </c>
      <c r="AM13" s="88">
        <f t="shared" si="27"/>
        <v>3588.6487626040589</v>
      </c>
      <c r="AN13" s="89">
        <f t="shared" si="6"/>
        <v>4000</v>
      </c>
      <c r="AO13" s="86"/>
      <c r="AP13" s="87">
        <f t="shared" si="28"/>
        <v>-287.95635563371229</v>
      </c>
      <c r="AQ13" s="99">
        <f t="shared" si="7"/>
        <v>-14.397817781685616</v>
      </c>
      <c r="AR13" s="88">
        <f t="shared" si="8"/>
        <v>-100</v>
      </c>
      <c r="AS13" s="88">
        <f t="shared" si="29"/>
        <v>35.886487626040591</v>
      </c>
      <c r="AT13" s="88">
        <f t="shared" si="30"/>
        <v>4.1135123739594093</v>
      </c>
      <c r="AU13" s="88">
        <f t="shared" si="31"/>
        <v>2</v>
      </c>
      <c r="AV13" s="88">
        <f t="shared" si="32"/>
        <v>0</v>
      </c>
      <c r="AW13" s="88">
        <f t="shared" si="33"/>
        <v>0</v>
      </c>
      <c r="AX13" s="89">
        <f t="shared" si="34"/>
        <v>-360.3541734153979</v>
      </c>
      <c r="AY13" s="86"/>
      <c r="AZ13" s="87">
        <f t="shared" si="35"/>
        <v>0</v>
      </c>
      <c r="BA13" s="88">
        <f t="shared" si="36"/>
        <v>35.886487626040591</v>
      </c>
      <c r="BB13" s="88">
        <f t="shared" si="37"/>
        <v>2</v>
      </c>
      <c r="BC13" s="88">
        <f t="shared" si="38"/>
        <v>6.910700788251809</v>
      </c>
      <c r="BD13" s="88">
        <f t="shared" si="39"/>
        <v>0.43164690188205346</v>
      </c>
      <c r="BE13" s="100">
        <f t="shared" si="40"/>
        <v>45.228835316174454</v>
      </c>
      <c r="BF13" s="101">
        <f t="shared" si="41"/>
        <v>-37.886487626040591</v>
      </c>
      <c r="BG13" s="102">
        <f t="shared" si="9"/>
        <v>7.3423476901338631</v>
      </c>
      <c r="BH13" s="119"/>
      <c r="BI13" s="93">
        <f t="shared" si="42"/>
        <v>32.31356839647939</v>
      </c>
      <c r="BJ13" s="125">
        <f t="shared" si="43"/>
        <v>-14.480036239186958</v>
      </c>
      <c r="BK13" s="92">
        <f t="shared" si="44"/>
        <v>17.833532157292431</v>
      </c>
      <c r="BL13" s="119"/>
      <c r="BM13" s="92">
        <f t="shared" si="45"/>
        <v>25.175879847426295</v>
      </c>
      <c r="BN13" s="91">
        <f t="shared" si="10"/>
        <v>-6.2939699618565736</v>
      </c>
      <c r="BO13" s="89">
        <f t="shared" si="11"/>
        <v>18.881909885569719</v>
      </c>
      <c r="BP13" s="86"/>
      <c r="BQ13" s="87">
        <f t="shared" si="46"/>
        <v>487.93920339061521</v>
      </c>
      <c r="BR13" s="88">
        <f t="shared" si="47"/>
        <v>0</v>
      </c>
      <c r="BS13" s="92">
        <f t="shared" si="0"/>
        <v>487.93920339061521</v>
      </c>
      <c r="BT13" s="119"/>
      <c r="BU13" s="88">
        <f t="shared" si="1"/>
        <v>-1.2949407056461604</v>
      </c>
      <c r="BV13" s="95">
        <f t="shared" si="12"/>
        <v>-383.22945686210983</v>
      </c>
      <c r="BW13" s="88">
        <f t="shared" si="48"/>
        <v>-103.41480582285908</v>
      </c>
      <c r="BX13" s="94">
        <f t="shared" si="52"/>
        <v>-487.93920339061509</v>
      </c>
      <c r="BY13" s="86">
        <f t="shared" si="13"/>
        <v>0</v>
      </c>
    </row>
    <row r="14" spans="1:77" x14ac:dyDescent="0.3">
      <c r="A14" s="137">
        <v>8</v>
      </c>
      <c r="B14" s="138">
        <f t="shared" si="53"/>
        <v>100</v>
      </c>
      <c r="C14" s="96">
        <f>NPV(5%,B15:$B$16)+NPV(5%,G15:$G$16)*(1+$M$24)+NPV(5%,H15:$H$16)+NPV(5%,I15:$I$16)*(1+$M$24)+NPV(5%,J15:$J$16)*(1+$M$24)</f>
        <v>-451.99092970521536</v>
      </c>
      <c r="D14" s="97">
        <f t="shared" si="49"/>
        <v>-68.76147284310548</v>
      </c>
      <c r="E14" s="97">
        <f>-$M$23*SUM($D$6:D13)</f>
        <v>30.65835654896879</v>
      </c>
      <c r="F14" s="97">
        <f t="shared" si="14"/>
        <v>-4.5987534823453187</v>
      </c>
      <c r="G14" s="143">
        <f t="shared" si="3"/>
        <v>-40</v>
      </c>
      <c r="H14" s="143">
        <v>0</v>
      </c>
      <c r="I14" s="143">
        <v>-2</v>
      </c>
      <c r="J14" s="143">
        <v>0</v>
      </c>
      <c r="K14" s="97">
        <f t="shared" si="15"/>
        <v>15.298130223517994</v>
      </c>
      <c r="L14" s="97">
        <f t="shared" si="16"/>
        <v>0</v>
      </c>
      <c r="M14" s="96">
        <f t="shared" si="17"/>
        <v>15.298130223517994</v>
      </c>
      <c r="N14" s="96">
        <f>5%*$M$25*SUM(G14:$G$16)+0.75%*$M$25*SUM(H14:$H$16)*(10-A14)</f>
        <v>-33.75</v>
      </c>
      <c r="O14" s="97">
        <f t="shared" si="51"/>
        <v>14.375</v>
      </c>
      <c r="P14" s="98"/>
      <c r="Q14" s="86"/>
      <c r="R14" s="150" t="s">
        <v>96</v>
      </c>
      <c r="S14" s="86"/>
      <c r="T14" s="87">
        <f>NPV($M$22,B15:$B$16)+NPV($M$22,G15:$G$16)+NPV($M$22,H15:$H$16)+NPV($M$22,I15:$I$16)+NPV($M$22,J15:$J$16)</f>
        <v>-436.37188208616777</v>
      </c>
      <c r="U14" s="88">
        <f>+NPV($M$22,G15:$G$16)*$M$24+NPV($M$22,I15:$I$16)*$M$24+NPV($M$22,J15:$J$16)*$M$24</f>
        <v>-15.619047619047619</v>
      </c>
      <c r="V14" s="89">
        <f t="shared" si="4"/>
        <v>-451.99092970521536</v>
      </c>
      <c r="W14" s="86"/>
      <c r="X14" s="87">
        <f t="shared" si="18"/>
        <v>-1.2949407056461604</v>
      </c>
      <c r="Y14" s="88">
        <f t="shared" si="19"/>
        <v>-6.4747035282308019E-2</v>
      </c>
      <c r="Z14" s="88">
        <f t="shared" si="20"/>
        <v>0.45322924697615613</v>
      </c>
      <c r="AA14" s="89">
        <f t="shared" si="21"/>
        <v>-0.90645849395231237</v>
      </c>
      <c r="AB14" s="88"/>
      <c r="AC14" s="87">
        <f t="shared" si="5"/>
        <v>4000</v>
      </c>
      <c r="AD14" s="89">
        <f>AC14/SUM(AC14:AC$16)</f>
        <v>0.33333333333333331</v>
      </c>
      <c r="AE14" s="86"/>
      <c r="AF14" s="87">
        <f t="shared" si="22"/>
        <v>487.93920339061521</v>
      </c>
      <c r="AG14" s="88">
        <f t="shared" si="23"/>
        <v>39.035136271249215</v>
      </c>
      <c r="AH14" s="88">
        <f t="shared" si="24"/>
        <v>-7.1655364099593912</v>
      </c>
      <c r="AI14" s="89">
        <f t="shared" si="25"/>
        <v>577.80880325190503</v>
      </c>
      <c r="AJ14" s="90"/>
      <c r="AK14" s="87">
        <f>NPV($M$22,$H14:$H$16)</f>
        <v>-431.91879926573802</v>
      </c>
      <c r="AL14" s="88">
        <f t="shared" si="26"/>
        <v>431.91879926573802</v>
      </c>
      <c r="AM14" s="88">
        <f t="shared" si="27"/>
        <v>3568.081200734262</v>
      </c>
      <c r="AN14" s="89">
        <f t="shared" si="6"/>
        <v>4000</v>
      </c>
      <c r="AO14" s="86"/>
      <c r="AP14" s="87">
        <f t="shared" si="28"/>
        <v>-360.3541734153979</v>
      </c>
      <c r="AQ14" s="99">
        <f t="shared" si="7"/>
        <v>-18.017708670769895</v>
      </c>
      <c r="AR14" s="88">
        <f t="shared" si="8"/>
        <v>-100</v>
      </c>
      <c r="AS14" s="88">
        <f t="shared" si="29"/>
        <v>35.680812007342617</v>
      </c>
      <c r="AT14" s="88">
        <f t="shared" si="30"/>
        <v>4.3191879926573797</v>
      </c>
      <c r="AU14" s="88">
        <f t="shared" si="31"/>
        <v>2</v>
      </c>
      <c r="AV14" s="88">
        <f t="shared" si="32"/>
        <v>0</v>
      </c>
      <c r="AW14" s="88">
        <f t="shared" si="33"/>
        <v>0</v>
      </c>
      <c r="AX14" s="89">
        <f t="shared" si="34"/>
        <v>-436.37188208616777</v>
      </c>
      <c r="AY14" s="86"/>
      <c r="AZ14" s="87">
        <f t="shared" si="35"/>
        <v>0</v>
      </c>
      <c r="BA14" s="88">
        <f t="shared" si="36"/>
        <v>35.680812007342617</v>
      </c>
      <c r="BB14" s="88">
        <f t="shared" si="37"/>
        <v>2</v>
      </c>
      <c r="BC14" s="88">
        <f t="shared" si="38"/>
        <v>7.2562358276643995</v>
      </c>
      <c r="BD14" s="88">
        <f t="shared" si="39"/>
        <v>0.45322924697615613</v>
      </c>
      <c r="BE14" s="100">
        <f t="shared" si="40"/>
        <v>45.390277081983172</v>
      </c>
      <c r="BF14" s="101">
        <f t="shared" si="41"/>
        <v>-37.680812007342617</v>
      </c>
      <c r="BG14" s="102">
        <f t="shared" ref="BG14" si="54">SUM(BE14:BF14)</f>
        <v>7.7094650746405549</v>
      </c>
      <c r="BH14" s="119"/>
      <c r="BI14" s="93">
        <f t="shared" si="42"/>
        <v>39.035136271249215</v>
      </c>
      <c r="BJ14" s="125">
        <f t="shared" si="43"/>
        <v>-18.082455706052205</v>
      </c>
      <c r="BK14" s="92">
        <f t="shared" si="44"/>
        <v>20.95268056519701</v>
      </c>
      <c r="BL14" s="119"/>
      <c r="BM14" s="92">
        <f t="shared" si="45"/>
        <v>28.662145639837565</v>
      </c>
      <c r="BN14" s="91">
        <f t="shared" si="10"/>
        <v>-7.1655364099593912</v>
      </c>
      <c r="BO14" s="89">
        <f t="shared" si="11"/>
        <v>21.496609229878175</v>
      </c>
      <c r="BP14" s="86"/>
      <c r="BQ14" s="87">
        <f t="shared" si="46"/>
        <v>577.80880325190503</v>
      </c>
      <c r="BR14" s="88">
        <f t="shared" si="47"/>
        <v>0</v>
      </c>
      <c r="BS14" s="92">
        <f t="shared" si="0"/>
        <v>577.80880325190503</v>
      </c>
      <c r="BT14" s="119"/>
      <c r="BU14" s="88">
        <f t="shared" si="1"/>
        <v>-0.90645849395231237</v>
      </c>
      <c r="BV14" s="95">
        <f t="shared" si="12"/>
        <v>-451.99092970521536</v>
      </c>
      <c r="BW14" s="88">
        <f t="shared" si="48"/>
        <v>-124.91141505273725</v>
      </c>
      <c r="BX14" s="94">
        <f t="shared" si="52"/>
        <v>-577.80880325190492</v>
      </c>
      <c r="BY14" s="86">
        <f t="shared" si="13"/>
        <v>0</v>
      </c>
    </row>
    <row r="15" spans="1:77" x14ac:dyDescent="0.3">
      <c r="A15" s="137">
        <v>9</v>
      </c>
      <c r="B15" s="138">
        <f t="shared" si="53"/>
        <v>100</v>
      </c>
      <c r="C15" s="96">
        <f>NPV(5%,B16:$B$16)+NPV(5%,G16:$G$16)*(1+$M$24)+NPV(5%,H16:$H$16)+NPV(5%,I16:$I$16)*(1+$M$24)+NPV(5%,J16:$J$16)*(1+$M$24)</f>
        <v>-524.19047619047615</v>
      </c>
      <c r="D15" s="97">
        <f t="shared" si="49"/>
        <v>-72.199546485260782</v>
      </c>
      <c r="E15" s="97">
        <f>-$M$23*SUM($D$6:D14)</f>
        <v>36.15927437641723</v>
      </c>
      <c r="F15" s="97">
        <f t="shared" si="14"/>
        <v>-5.4238911564625845</v>
      </c>
      <c r="G15" s="143">
        <f t="shared" si="3"/>
        <v>-40</v>
      </c>
      <c r="H15" s="143">
        <v>0</v>
      </c>
      <c r="I15" s="143">
        <v>-2</v>
      </c>
      <c r="J15" s="143">
        <v>0</v>
      </c>
      <c r="K15" s="97">
        <f t="shared" si="15"/>
        <v>16.535836734693859</v>
      </c>
      <c r="L15" s="97">
        <f t="shared" si="16"/>
        <v>0</v>
      </c>
      <c r="M15" s="96">
        <f t="shared" si="17"/>
        <v>16.535836734693859</v>
      </c>
      <c r="N15" s="96">
        <f>5%*$M$25*SUM(G15:$G$16)+0.75%*$M$25*SUM(H15:$H$16)*(10-A15)</f>
        <v>-19.375</v>
      </c>
      <c r="O15" s="97">
        <f t="shared" si="51"/>
        <v>14.375</v>
      </c>
      <c r="P15" s="98"/>
      <c r="Q15" s="86"/>
      <c r="R15" s="150" t="s">
        <v>96</v>
      </c>
      <c r="S15" s="86"/>
      <c r="T15" s="87">
        <f>NPV($M$22,B16:$B$16)+NPV($M$22,G16:$G$16)+NPV($M$22,H16:$H$16)+NPV($M$22,I16:$I$16)+NPV($M$22,J16:$J$16)</f>
        <v>-516.19047619047615</v>
      </c>
      <c r="U15" s="88">
        <f>+NPV($M$22,G16:$G$16)*$M$24+NPV($M$22,I16:$I$16)*$M$24+NPV($M$22,J16:$J$16)*$M$24</f>
        <v>-8</v>
      </c>
      <c r="V15" s="89">
        <f t="shared" si="4"/>
        <v>-524.19047619047615</v>
      </c>
      <c r="W15" s="86"/>
      <c r="X15" s="87">
        <f t="shared" si="18"/>
        <v>-0.90645849395231237</v>
      </c>
      <c r="Y15" s="88">
        <f t="shared" si="19"/>
        <v>-4.5322924697615619E-2</v>
      </c>
      <c r="Z15" s="88">
        <f t="shared" si="20"/>
        <v>0.47589070932496402</v>
      </c>
      <c r="AA15" s="89">
        <f t="shared" si="21"/>
        <v>-0.47589070932496402</v>
      </c>
      <c r="AB15" s="88"/>
      <c r="AC15" s="87">
        <f t="shared" si="5"/>
        <v>4000</v>
      </c>
      <c r="AD15" s="89">
        <f>AC15/SUM(AC15:AC$16)</f>
        <v>0.5</v>
      </c>
      <c r="AE15" s="86"/>
      <c r="AF15" s="87">
        <f t="shared" si="22"/>
        <v>577.80880325190503</v>
      </c>
      <c r="AG15" s="88">
        <f t="shared" si="23"/>
        <v>46.2247042601524</v>
      </c>
      <c r="AH15" s="88">
        <f t="shared" si="24"/>
        <v>-8.1139313898797454</v>
      </c>
      <c r="AI15" s="89">
        <f t="shared" si="25"/>
        <v>673.91957612217766</v>
      </c>
      <c r="AJ15" s="90"/>
      <c r="AK15" s="87">
        <f>NPV($M$22,$H15:$H$16)</f>
        <v>-453.51473922902488</v>
      </c>
      <c r="AL15" s="88">
        <f t="shared" si="26"/>
        <v>453.51473922902488</v>
      </c>
      <c r="AM15" s="88">
        <f t="shared" si="27"/>
        <v>3546.4852607709749</v>
      </c>
      <c r="AN15" s="89">
        <f t="shared" si="6"/>
        <v>4000</v>
      </c>
      <c r="AO15" s="86"/>
      <c r="AP15" s="87">
        <f t="shared" si="28"/>
        <v>-436.37188208616777</v>
      </c>
      <c r="AQ15" s="99">
        <f t="shared" si="7"/>
        <v>-21.818594104308389</v>
      </c>
      <c r="AR15" s="88">
        <f t="shared" si="8"/>
        <v>-100</v>
      </c>
      <c r="AS15" s="88">
        <f t="shared" si="29"/>
        <v>35.464852607709751</v>
      </c>
      <c r="AT15" s="88">
        <f t="shared" si="30"/>
        <v>4.5351473922902485</v>
      </c>
      <c r="AU15" s="88">
        <f t="shared" si="31"/>
        <v>2</v>
      </c>
      <c r="AV15" s="88">
        <f t="shared" si="32"/>
        <v>0</v>
      </c>
      <c r="AW15" s="88">
        <f t="shared" si="33"/>
        <v>0</v>
      </c>
      <c r="AX15" s="89">
        <f t="shared" si="34"/>
        <v>-516.19047619047615</v>
      </c>
      <c r="AY15" s="86"/>
      <c r="AZ15" s="87">
        <f t="shared" si="35"/>
        <v>0</v>
      </c>
      <c r="BA15" s="88">
        <f t="shared" si="36"/>
        <v>35.464852607709751</v>
      </c>
      <c r="BB15" s="88">
        <f t="shared" si="37"/>
        <v>2</v>
      </c>
      <c r="BC15" s="88">
        <f t="shared" si="38"/>
        <v>7.6190476190476186</v>
      </c>
      <c r="BD15" s="88">
        <f t="shared" si="39"/>
        <v>0.47589070932496402</v>
      </c>
      <c r="BE15" s="100">
        <f t="shared" si="40"/>
        <v>45.559790936082337</v>
      </c>
      <c r="BF15" s="101">
        <f t="shared" si="41"/>
        <v>-37.464852607709751</v>
      </c>
      <c r="BG15" s="102">
        <f>SUM(BE15:BF15)</f>
        <v>8.0949383283725851</v>
      </c>
      <c r="BH15" s="119"/>
      <c r="BI15" s="93">
        <f t="shared" si="42"/>
        <v>46.2247042601524</v>
      </c>
      <c r="BJ15" s="125">
        <f t="shared" si="43"/>
        <v>-21.863917029006004</v>
      </c>
      <c r="BK15" s="92">
        <f t="shared" si="44"/>
        <v>24.360787231146396</v>
      </c>
      <c r="BL15" s="119"/>
      <c r="BM15" s="92">
        <f t="shared" si="45"/>
        <v>32.455725559518982</v>
      </c>
      <c r="BN15" s="91">
        <f t="shared" si="10"/>
        <v>-8.1139313898797454</v>
      </c>
      <c r="BO15" s="89">
        <f t="shared" si="11"/>
        <v>24.341794169639236</v>
      </c>
      <c r="BP15" s="86"/>
      <c r="BQ15" s="87">
        <f t="shared" si="46"/>
        <v>673.91957612217766</v>
      </c>
      <c r="BR15" s="88">
        <f t="shared" si="47"/>
        <v>0</v>
      </c>
      <c r="BS15" s="92">
        <f t="shared" si="0"/>
        <v>673.91957612217766</v>
      </c>
      <c r="BT15" s="119"/>
      <c r="BU15" s="88">
        <f t="shared" si="1"/>
        <v>-0.47589070932496402</v>
      </c>
      <c r="BV15" s="95">
        <f t="shared" si="12"/>
        <v>-524.19047619047615</v>
      </c>
      <c r="BW15" s="88">
        <f t="shared" si="48"/>
        <v>-149.25320922237648</v>
      </c>
      <c r="BX15" s="94">
        <f t="shared" si="52"/>
        <v>-673.91957612217766</v>
      </c>
      <c r="BY15" s="86">
        <f t="shared" si="13"/>
        <v>0</v>
      </c>
    </row>
    <row r="16" spans="1:77" ht="15" thickBot="1" x14ac:dyDescent="0.35">
      <c r="A16" s="139">
        <v>10</v>
      </c>
      <c r="B16" s="140"/>
      <c r="C16" s="104">
        <f>NPV(5%,B$16:$B17)+NPV(5%,G$16:$G17)*(1+$M$24)+NPV(5%,H$16:$H17)+NPV(5%,I$16:$I17)*(1+$M$24)+NPV(5%,J$16:$J17)*(1+$M$24)</f>
        <v>-524.19047619047615</v>
      </c>
      <c r="D16" s="105">
        <f>-SUM(D6:D15)</f>
        <v>524.19047619047615</v>
      </c>
      <c r="E16" s="105">
        <f>-$M$23*SUM($D$6:D15)</f>
        <v>41.935238095238091</v>
      </c>
      <c r="F16" s="105">
        <f t="shared" si="14"/>
        <v>-6.2902857142857131</v>
      </c>
      <c r="G16" s="144">
        <f t="shared" si="3"/>
        <v>-40</v>
      </c>
      <c r="H16" s="144">
        <f>-M29</f>
        <v>-500</v>
      </c>
      <c r="I16" s="144">
        <v>-2</v>
      </c>
      <c r="J16" s="144">
        <f t="shared" si="50"/>
        <v>0</v>
      </c>
      <c r="K16" s="105">
        <f t="shared" si="15"/>
        <v>17.835428571428565</v>
      </c>
      <c r="L16" s="105">
        <f t="shared" si="16"/>
        <v>0</v>
      </c>
      <c r="M16" s="104">
        <f t="shared" si="17"/>
        <v>17.835428571428565</v>
      </c>
      <c r="N16" s="104">
        <f>5%*$M$25*SUM(G16:$G$16)+0.75%*$M$25*SUM(H16:$H$16)*(10-A16)</f>
        <v>-5</v>
      </c>
      <c r="O16" s="105">
        <f>-SUM(O6:O15)</f>
        <v>19.375</v>
      </c>
      <c r="P16" s="107"/>
      <c r="Q16" s="86"/>
      <c r="R16" s="150" t="s">
        <v>96</v>
      </c>
      <c r="S16" s="86"/>
      <c r="T16" s="122">
        <v>0</v>
      </c>
      <c r="U16" s="123">
        <v>0</v>
      </c>
      <c r="V16" s="124">
        <v>0</v>
      </c>
      <c r="W16" s="86"/>
      <c r="X16" s="108">
        <f t="shared" si="18"/>
        <v>-0.47589070932496402</v>
      </c>
      <c r="Y16" s="109">
        <f t="shared" si="19"/>
        <v>-2.3794535466248202E-2</v>
      </c>
      <c r="Z16" s="109">
        <f t="shared" si="20"/>
        <v>0.49968524479121224</v>
      </c>
      <c r="AA16" s="110">
        <f t="shared" si="21"/>
        <v>0</v>
      </c>
      <c r="AB16" s="109"/>
      <c r="AC16" s="108">
        <f t="shared" si="5"/>
        <v>4000</v>
      </c>
      <c r="AD16" s="110">
        <f>AC16/SUM(AC16:AC$16)</f>
        <v>1</v>
      </c>
      <c r="AE16" s="86"/>
      <c r="AF16" s="108">
        <f t="shared" si="22"/>
        <v>673.91957612217766</v>
      </c>
      <c r="AG16" s="109">
        <f t="shared" si="23"/>
        <v>53.913566089774214</v>
      </c>
      <c r="AH16" s="109">
        <f t="shared" si="24"/>
        <v>-9.1449832473938422</v>
      </c>
      <c r="AI16" s="110">
        <f t="shared" si="25"/>
        <v>176.68815896455806</v>
      </c>
      <c r="AJ16" s="90"/>
      <c r="AK16" s="108">
        <f>NPV($M$22,$H16:$H$16)</f>
        <v>-476.19047619047615</v>
      </c>
      <c r="AL16" s="109">
        <f t="shared" si="26"/>
        <v>476.19047619047615</v>
      </c>
      <c r="AM16" s="109">
        <f t="shared" si="27"/>
        <v>3523.8095238095239</v>
      </c>
      <c r="AN16" s="110">
        <f t="shared" si="6"/>
        <v>4000</v>
      </c>
      <c r="AO16" s="86"/>
      <c r="AP16" s="108">
        <f t="shared" si="28"/>
        <v>-516.19047619047615</v>
      </c>
      <c r="AQ16" s="111">
        <f t="shared" si="7"/>
        <v>-25.80952380952381</v>
      </c>
      <c r="AR16" s="109">
        <f t="shared" si="8"/>
        <v>0</v>
      </c>
      <c r="AS16" s="109">
        <f t="shared" si="29"/>
        <v>35.238095238095234</v>
      </c>
      <c r="AT16" s="109">
        <f t="shared" si="30"/>
        <v>4.7619047619047619</v>
      </c>
      <c r="AU16" s="109">
        <f t="shared" si="31"/>
        <v>2</v>
      </c>
      <c r="AV16" s="109">
        <f t="shared" si="32"/>
        <v>0</v>
      </c>
      <c r="AW16" s="109">
        <f t="shared" si="33"/>
        <v>500</v>
      </c>
      <c r="AX16" s="110">
        <f t="shared" si="34"/>
        <v>0</v>
      </c>
      <c r="AY16" s="86"/>
      <c r="AZ16" s="108">
        <f t="shared" si="35"/>
        <v>0</v>
      </c>
      <c r="BA16" s="109">
        <f t="shared" si="36"/>
        <v>35.238095238095234</v>
      </c>
      <c r="BB16" s="109">
        <f t="shared" si="37"/>
        <v>2</v>
      </c>
      <c r="BC16" s="109">
        <f t="shared" si="38"/>
        <v>8</v>
      </c>
      <c r="BD16" s="109">
        <f t="shared" si="39"/>
        <v>0.49968524479121224</v>
      </c>
      <c r="BE16" s="112">
        <f t="shared" si="40"/>
        <v>45.737780482886443</v>
      </c>
      <c r="BF16" s="113">
        <f t="shared" si="41"/>
        <v>-37.238095238095234</v>
      </c>
      <c r="BG16" s="114">
        <f>SUM(BE16:BF16)</f>
        <v>8.499685244791209</v>
      </c>
      <c r="BH16" s="120"/>
      <c r="BI16" s="115">
        <f t="shared" si="42"/>
        <v>53.913566089774214</v>
      </c>
      <c r="BJ16" s="126">
        <f t="shared" si="43"/>
        <v>-25.833318344990058</v>
      </c>
      <c r="BK16" s="116">
        <f t="shared" si="44"/>
        <v>28.080247744784156</v>
      </c>
      <c r="BL16" s="120"/>
      <c r="BM16" s="116">
        <f t="shared" si="45"/>
        <v>36.579932989575369</v>
      </c>
      <c r="BN16" s="106">
        <f t="shared" si="10"/>
        <v>-9.1449832473938422</v>
      </c>
      <c r="BO16" s="110">
        <f t="shared" si="11"/>
        <v>27.434949742181526</v>
      </c>
      <c r="BP16" s="86"/>
      <c r="BQ16" s="108">
        <f t="shared" si="46"/>
        <v>176.68815896455806</v>
      </c>
      <c r="BR16" s="109">
        <f t="shared" si="47"/>
        <v>0</v>
      </c>
      <c r="BS16" s="116">
        <f t="shared" si="0"/>
        <v>176.68815896455806</v>
      </c>
      <c r="BT16" s="120"/>
      <c r="BU16" s="109">
        <f t="shared" si="1"/>
        <v>0</v>
      </c>
      <c r="BV16" s="103">
        <f t="shared" si="12"/>
        <v>0</v>
      </c>
      <c r="BW16" s="109">
        <f t="shared" si="48"/>
        <v>-176.688158964558</v>
      </c>
      <c r="BX16" s="117">
        <f t="shared" si="52"/>
        <v>-176.688158964558</v>
      </c>
      <c r="BY16" s="86">
        <f t="shared" si="13"/>
        <v>0</v>
      </c>
    </row>
    <row r="17" spans="1:20" ht="15" thickBot="1" x14ac:dyDescent="0.35">
      <c r="D17" s="5" t="s">
        <v>15</v>
      </c>
      <c r="O17" s="25"/>
      <c r="R17" s="150" t="s">
        <v>96</v>
      </c>
      <c r="T17" t="s">
        <v>32</v>
      </c>
    </row>
    <row r="18" spans="1:20" ht="15" thickBot="1" x14ac:dyDescent="0.35">
      <c r="A18" t="s">
        <v>76</v>
      </c>
      <c r="D18" s="6"/>
      <c r="K18" s="148" t="s">
        <v>12</v>
      </c>
      <c r="L18" s="149"/>
      <c r="M18" s="11">
        <f>NPV($M$22,M6:M16)</f>
        <v>102.47693080097575</v>
      </c>
      <c r="N18" s="26"/>
      <c r="O18" s="29">
        <f>NPV($M$22,O6:O16)</f>
        <v>-33.029042024061468</v>
      </c>
      <c r="P18" s="12">
        <f>NPV($M$22,P6:P16)</f>
        <v>0</v>
      </c>
      <c r="R18" s="150" t="s">
        <v>96</v>
      </c>
      <c r="T18" s="1"/>
    </row>
    <row r="19" spans="1:20" ht="15" thickBot="1" x14ac:dyDescent="0.35">
      <c r="A19" t="s">
        <v>86</v>
      </c>
      <c r="D19" s="6"/>
      <c r="N19" s="27"/>
      <c r="O19" s="28"/>
      <c r="R19" s="150" t="s">
        <v>96</v>
      </c>
    </row>
    <row r="20" spans="1:20" ht="15" thickBot="1" x14ac:dyDescent="0.35">
      <c r="A20" t="s">
        <v>97</v>
      </c>
      <c r="D20" s="6"/>
      <c r="K20" s="53" t="s">
        <v>26</v>
      </c>
      <c r="L20" s="54"/>
      <c r="M20" s="55">
        <v>0.05</v>
      </c>
      <c r="N20" s="23" t="s">
        <v>29</v>
      </c>
      <c r="R20" s="150" t="s">
        <v>96</v>
      </c>
    </row>
    <row r="21" spans="1:20" ht="15" thickBot="1" x14ac:dyDescent="0.35">
      <c r="K21" s="53" t="s">
        <v>27</v>
      </c>
      <c r="L21" s="54"/>
      <c r="M21" s="56">
        <v>0</v>
      </c>
      <c r="N21" s="23"/>
      <c r="R21" s="150" t="s">
        <v>96</v>
      </c>
    </row>
    <row r="22" spans="1:20" ht="15" thickBot="1" x14ac:dyDescent="0.35">
      <c r="G22" s="147" t="s">
        <v>22</v>
      </c>
      <c r="H22" s="147"/>
      <c r="I22" s="147"/>
      <c r="K22" s="53" t="s">
        <v>13</v>
      </c>
      <c r="L22" s="54"/>
      <c r="M22" s="55">
        <f>M20+M21</f>
        <v>0.05</v>
      </c>
      <c r="N22" s="24"/>
      <c r="R22" s="150" t="s">
        <v>96</v>
      </c>
    </row>
    <row r="23" spans="1:20" ht="15" thickBot="1" x14ac:dyDescent="0.35">
      <c r="G23" s="32">
        <v>1</v>
      </c>
      <c r="H23" s="32">
        <v>2</v>
      </c>
      <c r="I23" s="32">
        <v>3</v>
      </c>
      <c r="K23" s="53" t="s">
        <v>49</v>
      </c>
      <c r="L23" s="54"/>
      <c r="M23" s="55">
        <v>0.08</v>
      </c>
      <c r="R23" s="150" t="s">
        <v>96</v>
      </c>
    </row>
    <row r="24" spans="1:20" ht="15" thickBot="1" x14ac:dyDescent="0.35">
      <c r="F24" s="57" t="s">
        <v>17</v>
      </c>
      <c r="G24" s="2">
        <v>7000</v>
      </c>
      <c r="H24" s="2">
        <v>4000</v>
      </c>
      <c r="I24" s="2">
        <v>800</v>
      </c>
      <c r="K24" s="53" t="s">
        <v>81</v>
      </c>
      <c r="L24" s="54"/>
      <c r="M24" s="55">
        <v>0.2</v>
      </c>
      <c r="R24" s="150" t="s">
        <v>96</v>
      </c>
    </row>
    <row r="25" spans="1:20" ht="15" thickBot="1" x14ac:dyDescent="0.35">
      <c r="F25" s="57" t="s">
        <v>18</v>
      </c>
      <c r="G25" s="2">
        <v>0</v>
      </c>
      <c r="H25" s="2">
        <v>500</v>
      </c>
      <c r="I25" s="2">
        <v>1000</v>
      </c>
      <c r="K25" s="50" t="s">
        <v>14</v>
      </c>
      <c r="L25" s="51"/>
      <c r="M25" s="9">
        <v>2.5</v>
      </c>
      <c r="R25" s="150" t="s">
        <v>96</v>
      </c>
    </row>
    <row r="26" spans="1:20" ht="15" thickBot="1" x14ac:dyDescent="0.35">
      <c r="K26" s="50" t="s">
        <v>16</v>
      </c>
      <c r="L26" s="51"/>
      <c r="M26" s="10">
        <v>100</v>
      </c>
      <c r="R26" s="150" t="s">
        <v>96</v>
      </c>
    </row>
    <row r="27" spans="1:20" ht="15" thickBot="1" x14ac:dyDescent="0.35">
      <c r="K27" s="50" t="s">
        <v>22</v>
      </c>
      <c r="L27" s="51"/>
      <c r="M27" s="10">
        <v>2</v>
      </c>
      <c r="R27" s="150" t="s">
        <v>96</v>
      </c>
    </row>
    <row r="28" spans="1:20" ht="15" thickBot="1" x14ac:dyDescent="0.35">
      <c r="K28" s="33" t="s">
        <v>17</v>
      </c>
      <c r="L28" s="52"/>
      <c r="M28" s="30">
        <f>HLOOKUP(M27,$G$23:$I$25,2,0)</f>
        <v>4000</v>
      </c>
      <c r="R28" s="150" t="s">
        <v>96</v>
      </c>
    </row>
    <row r="29" spans="1:20" ht="15" thickBot="1" x14ac:dyDescent="0.35">
      <c r="K29" s="33" t="s">
        <v>18</v>
      </c>
      <c r="L29" s="52"/>
      <c r="M29" s="30">
        <f>HLOOKUP(M27,$G$23:$I$25,3,0)</f>
        <v>500</v>
      </c>
      <c r="R29" s="150" t="s">
        <v>96</v>
      </c>
    </row>
    <row r="30" spans="1:20" x14ac:dyDescent="0.3">
      <c r="R30" s="150" t="s">
        <v>96</v>
      </c>
    </row>
    <row r="31" spans="1:20" x14ac:dyDescent="0.3">
      <c r="R31" s="150" t="s">
        <v>96</v>
      </c>
    </row>
    <row r="32" spans="1:20" x14ac:dyDescent="0.3">
      <c r="R32" s="150" t="s">
        <v>96</v>
      </c>
    </row>
  </sheetData>
  <mergeCells count="2">
    <mergeCell ref="K18:L18"/>
    <mergeCell ref="G22:I22"/>
  </mergeCells>
  <pageMargins left="0.7" right="0.7" top="0.75" bottom="0.75" header="0.3" footer="0.3"/>
  <pageSetup orientation="portrait" horizontalDpi="300" verticalDpi="30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EV</vt:lpstr>
      <vt:lpstr>IFRS 17</vt:lpstr>
      <vt:lpstr>IFRS 17_lh</vt:lpstr>
    </vt:vector>
  </TitlesOfParts>
  <Company>Manulife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William Soetrisno</dc:creator>
  <cp:lastModifiedBy>Kelvin Yap</cp:lastModifiedBy>
  <dcterms:created xsi:type="dcterms:W3CDTF">2019-03-17T06:27:50Z</dcterms:created>
  <dcterms:modified xsi:type="dcterms:W3CDTF">2019-03-21T00:57:43Z</dcterms:modified>
</cp:coreProperties>
</file>